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nsuch.sharepoint.com/IP/PigPen/"/>
    </mc:Choice>
  </mc:AlternateContent>
  <xr:revisionPtr revIDLastSave="87" documentId="8_{F0B8D513-C1F5-4757-A58A-D135CB3D5122}" xr6:coauthVersionLast="45" xr6:coauthVersionMax="45" xr10:uidLastSave="{836890C2-884A-4EE5-AAF1-054D15BC0FEA}"/>
  <bookViews>
    <workbookView xWindow="-120" yWindow="-120" windowWidth="29040" windowHeight="15840" xr2:uid="{BBFA03DC-09B6-4CB0-A0EB-3703C452DD15}"/>
  </bookViews>
  <sheets>
    <sheet name="Control Panel and Dashboard" sheetId="2" r:id="rId1"/>
    <sheet name="PPM Benefits Calculator" sheetId="1" r:id="rId2"/>
  </sheets>
  <definedNames>
    <definedName name="MostLikely">'Control Panel and Dashboard'!$B$29</definedName>
    <definedName name="Optimistic">'Control Panel and Dashboard'!$B$28</definedName>
    <definedName name="Pessimistic">'Control Panel and Dashboard'!$B$30</definedName>
    <definedName name="pweeks">'Control Panel and Dashboard'!$A$19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2" l="1"/>
  <c r="P13" i="2" l="1"/>
  <c r="Q8" i="2"/>
  <c r="Q10" i="2" s="1"/>
  <c r="Q11" i="2" s="1"/>
  <c r="K22" i="2" l="1"/>
  <c r="J22" i="2"/>
  <c r="I22" i="2"/>
  <c r="K17" i="2"/>
  <c r="K16" i="2"/>
  <c r="K15" i="2"/>
  <c r="J15" i="2"/>
  <c r="J17" i="2"/>
  <c r="J16" i="2"/>
  <c r="I15" i="2"/>
  <c r="I17" i="2"/>
  <c r="I16" i="2"/>
  <c r="K9" i="2"/>
  <c r="K8" i="2"/>
  <c r="K7" i="2"/>
  <c r="J7" i="2"/>
  <c r="J9" i="2"/>
  <c r="J8" i="2"/>
  <c r="I9" i="2"/>
  <c r="I8" i="2"/>
  <c r="I7" i="2"/>
  <c r="P15" i="2" l="1"/>
  <c r="O19" i="2"/>
  <c r="P19" i="2" s="1"/>
  <c r="O16" i="2"/>
  <c r="P16" i="2" s="1"/>
  <c r="O14" i="2"/>
  <c r="P14" i="2" s="1"/>
  <c r="M11" i="2"/>
  <c r="N11" i="2"/>
  <c r="N20" i="2" l="1"/>
  <c r="O20" i="2"/>
  <c r="P20" i="2" s="1"/>
  <c r="O8" i="2"/>
  <c r="O10" i="2" s="1"/>
  <c r="P8" i="2"/>
  <c r="P10" i="2" s="1"/>
  <c r="P11" i="2" s="1"/>
  <c r="N8" i="2"/>
  <c r="N10" i="2" s="1"/>
  <c r="I30" i="1"/>
  <c r="I31" i="1" s="1"/>
  <c r="J31" i="1" s="1"/>
  <c r="R10" i="2" l="1"/>
  <c r="R11" i="2" s="1"/>
  <c r="Q20" i="2" s="1"/>
  <c r="N25" i="2" s="1"/>
  <c r="O11" i="2"/>
  <c r="I26" i="1"/>
  <c r="J30" i="1"/>
  <c r="J25" i="1"/>
  <c r="J26" i="1" s="1"/>
  <c r="N13" i="1" l="1"/>
  <c r="O31" i="1"/>
  <c r="O30" i="1"/>
  <c r="I27" i="1"/>
  <c r="I25" i="1"/>
  <c r="P5" i="1"/>
  <c r="P6" i="1" s="1"/>
  <c r="P7" i="1" s="1"/>
  <c r="P8" i="1" s="1"/>
  <c r="N5" i="1"/>
  <c r="I8" i="1"/>
  <c r="I6" i="1"/>
  <c r="I5" i="1"/>
  <c r="I13" i="1"/>
  <c r="H13" i="1"/>
  <c r="M21" i="1"/>
  <c r="G23" i="2" s="1"/>
  <c r="M19" i="1"/>
  <c r="G22" i="2" s="1"/>
  <c r="I21" i="1"/>
  <c r="R21" i="1" s="1"/>
  <c r="J23" i="2" s="1"/>
  <c r="A25" i="2"/>
  <c r="I19" i="1" s="1"/>
  <c r="M13" i="1"/>
  <c r="G17" i="2" s="1"/>
  <c r="N31" i="1"/>
  <c r="G16" i="2" s="1"/>
  <c r="N30" i="1"/>
  <c r="G15" i="2" s="1"/>
  <c r="N26" i="1"/>
  <c r="G8" i="2" s="1"/>
  <c r="N27" i="1"/>
  <c r="G9" i="2" s="1"/>
  <c r="N25" i="1"/>
  <c r="G7" i="2" s="1"/>
  <c r="M6" i="1"/>
  <c r="M7" i="1"/>
  <c r="G26" i="2" s="1"/>
  <c r="M8" i="1"/>
  <c r="G27" i="2" s="1"/>
  <c r="M5" i="1"/>
  <c r="R5" i="1" s="1"/>
  <c r="I24" i="2" s="1"/>
  <c r="P31" i="1"/>
  <c r="P30" i="1"/>
  <c r="R6" i="1" l="1"/>
  <c r="I25" i="2" s="1"/>
  <c r="G24" i="2"/>
  <c r="G25" i="2"/>
  <c r="S8" i="1"/>
  <c r="J27" i="2" s="1"/>
  <c r="S5" i="1"/>
  <c r="J24" i="2" s="1"/>
  <c r="T6" i="1"/>
  <c r="K25" i="2" s="1"/>
  <c r="R8" i="1"/>
  <c r="I27" i="2" s="1"/>
  <c r="T5" i="1"/>
  <c r="K24" i="2" s="1"/>
  <c r="S6" i="1"/>
  <c r="J25" i="2" s="1"/>
  <c r="T8" i="1"/>
  <c r="K27" i="2" s="1"/>
  <c r="O25" i="1"/>
  <c r="Q25" i="1" s="1"/>
  <c r="Q21" i="1"/>
  <c r="I23" i="2" s="1"/>
  <c r="I7" i="1"/>
  <c r="Q7" i="1" s="1"/>
  <c r="S19" i="1"/>
  <c r="Q19" i="1"/>
  <c r="R19" i="1"/>
  <c r="S21" i="1"/>
  <c r="K23" i="2" s="1"/>
  <c r="S14" i="1"/>
  <c r="R14" i="1"/>
  <c r="T13" i="1"/>
  <c r="H17" i="2" s="1"/>
  <c r="Q14" i="1"/>
  <c r="Q31" i="1"/>
  <c r="R30" i="1"/>
  <c r="O26" i="1"/>
  <c r="Q26" i="1" s="1"/>
  <c r="Q30" i="1"/>
  <c r="T30" i="1"/>
  <c r="H15" i="2" s="1"/>
  <c r="S31" i="1"/>
  <c r="T31" i="1"/>
  <c r="H16" i="2" s="1"/>
  <c r="S30" i="1"/>
  <c r="R31" i="1"/>
  <c r="T21" i="1"/>
  <c r="H23" i="2" s="1"/>
  <c r="N8" i="1"/>
  <c r="O8" i="1" s="1"/>
  <c r="N7" i="1"/>
  <c r="N6" i="1"/>
  <c r="O6" i="1" s="1"/>
  <c r="Q6" i="1"/>
  <c r="Q8" i="1"/>
  <c r="Q5" i="1"/>
  <c r="O5" i="1"/>
  <c r="T25" i="1" l="1"/>
  <c r="H7" i="2" s="1"/>
  <c r="R25" i="1"/>
  <c r="R7" i="1"/>
  <c r="I26" i="2" s="1"/>
  <c r="T7" i="1"/>
  <c r="K26" i="2" s="1"/>
  <c r="Q11" i="1"/>
  <c r="S7" i="1"/>
  <c r="J26" i="2" s="1"/>
  <c r="S25" i="1"/>
  <c r="K19" i="2"/>
  <c r="S34" i="1"/>
  <c r="I19" i="2"/>
  <c r="Q34" i="1"/>
  <c r="H19" i="2"/>
  <c r="T34" i="1"/>
  <c r="J19" i="2"/>
  <c r="R34" i="1"/>
  <c r="O7" i="1"/>
  <c r="O11" i="1" s="1"/>
  <c r="T19" i="1"/>
  <c r="S26" i="1"/>
  <c r="T26" i="1"/>
  <c r="H8" i="2" s="1"/>
  <c r="R26" i="1"/>
  <c r="J27" i="1"/>
  <c r="O27" i="1" s="1"/>
  <c r="R27" i="1" s="1"/>
  <c r="U6" i="1"/>
  <c r="H25" i="2" s="1"/>
  <c r="U8" i="1"/>
  <c r="H27" i="2" s="1"/>
  <c r="U5" i="1"/>
  <c r="H24" i="2" s="1"/>
  <c r="T22" i="1" l="1"/>
  <c r="H22" i="2"/>
  <c r="S11" i="1"/>
  <c r="J29" i="2"/>
  <c r="T11" i="1"/>
  <c r="K29" i="2"/>
  <c r="R11" i="1"/>
  <c r="I29" i="2"/>
  <c r="U7" i="1"/>
  <c r="H26" i="2" s="1"/>
  <c r="J11" i="2"/>
  <c r="R28" i="1"/>
  <c r="Q27" i="1"/>
  <c r="T27" i="1"/>
  <c r="H9" i="2" s="1"/>
  <c r="S27" i="1"/>
  <c r="J31" i="2" l="1"/>
  <c r="N26" i="2" s="1"/>
  <c r="H29" i="2"/>
  <c r="U11" i="1"/>
  <c r="S28" i="1"/>
  <c r="K11" i="2"/>
  <c r="K31" i="2" s="1"/>
  <c r="N27" i="2" s="1"/>
  <c r="T28" i="1"/>
  <c r="Q28" i="1"/>
  <c r="I11" i="2"/>
  <c r="I31" i="2" l="1"/>
  <c r="H11" i="2" l="1"/>
  <c r="H31" i="2" s="1"/>
  <c r="N24" i="2" s="1"/>
</calcChain>
</file>

<file path=xl/sharedStrings.xml><?xml version="1.0" encoding="utf-8"?>
<sst xmlns="http://schemas.openxmlformats.org/spreadsheetml/2006/main" count="250" uniqueCount="189">
  <si>
    <t>Benefit</t>
  </si>
  <si>
    <t>Replaces</t>
  </si>
  <si>
    <t>Measure</t>
  </si>
  <si>
    <t>Guideline</t>
  </si>
  <si>
    <t>Improved communication between project stakeholders due to consistent application of standard project methodology</t>
  </si>
  <si>
    <t>Customer satisfaction rating/Team communication rating</t>
  </si>
  <si>
    <t>Organisations report and increase in customer satisfaction by 25-35% and improved team communcation by 40-50%</t>
  </si>
  <si>
    <t>Process improvements facilitated by increased use of standard methodology and lessons learned reviews</t>
  </si>
  <si>
    <t>Making the same mistakes over and over</t>
  </si>
  <si>
    <t>Number of process improvements implemented</t>
  </si>
  <si>
    <t>Typically the processes for managing the demand, project selection and portfolio prioritisation, project status reporting, resource management and post project evaluation report continual improvements</t>
  </si>
  <si>
    <t>Reduction in wasted project costs by early identification of challenged projects</t>
  </si>
  <si>
    <t>Continued work on non-profitable projects</t>
  </si>
  <si>
    <t>Approximately 10% less low value/redundant projects</t>
  </si>
  <si>
    <t>Reduced budget overruns due to improved visibility</t>
  </si>
  <si>
    <t>Annual cost of overruns</t>
  </si>
  <si>
    <t>Expect an average decrease of 10%</t>
  </si>
  <si>
    <t>Accelerated delivery due to improved use of resources</t>
  </si>
  <si>
    <t>Number of projects delivered on time</t>
  </si>
  <si>
    <t>Reduction of non-productive time due to improved time recording and tracking</t>
  </si>
  <si>
    <t>Percentage resource utilisation/savings related to labour expenses</t>
  </si>
  <si>
    <t>Not all project environments track labour costs but for those that do, a 20% reduction in labour expenses can be expected</t>
  </si>
  <si>
    <t>Improved executive decision making due to accurate, up-to-date project information available online</t>
  </si>
  <si>
    <t>Time taken in days to pass project gates</t>
  </si>
  <si>
    <t>Most companies have reported 22.5 days as the average before PPM software and an average of 8.4 days with PPM software</t>
  </si>
  <si>
    <t>Maintaining management focus on delivering and maximising the business value of strategic projects</t>
  </si>
  <si>
    <t>Annual benefits realised</t>
  </si>
  <si>
    <t>Number of cancelled, on-hold and rescoped projects</t>
  </si>
  <si>
    <t xml:space="preserve">Fire fighting Ad-hoc to-do lists Unproductive team meetings </t>
  </si>
  <si>
    <t>Cost overruns                        Checking data across multiple sources</t>
  </si>
  <si>
    <t>Resource bottle-necks            Lack of delivery                         Over-worked resources</t>
  </si>
  <si>
    <t>Unproductive resources           Lost time impacting project profitability</t>
  </si>
  <si>
    <t>Uninformed decision making      Lengthy decision-making</t>
  </si>
  <si>
    <t>Excessive time spent on business as usual                       Lack of focus on strategic projects                                      Missed benefit targets</t>
  </si>
  <si>
    <t>Set Standards with the right processes, templates, tools and technology</t>
  </si>
  <si>
    <t>Guidance</t>
  </si>
  <si>
    <t>Creating new templates or projects from outdated templates or using Save As approaches. 
Adhoc approaches from new or outsourced project managers</t>
  </si>
  <si>
    <t>Number of negative audit reviews or projects not compliant to process</t>
  </si>
  <si>
    <t>Expect a reduction of 15% to 50% reduction in non-compliant projects
Expect a reduction of 15% to 25% reduction in negative audit reviews</t>
  </si>
  <si>
    <t>Reduction in status meetings per project</t>
  </si>
  <si>
    <t>Excessive meetings to report progress due to lack of visibility</t>
  </si>
  <si>
    <t>Hours Per week</t>
  </si>
  <si>
    <t>Reductions in Project Manager workloads providing progress updates</t>
  </si>
  <si>
    <t>Reduction in PMO workload consolidating information and producing regular reports</t>
  </si>
  <si>
    <t>Reduction in PMO time spend responding to requrests from executives for ad-hoc progress reports</t>
  </si>
  <si>
    <t>Aggregating data in Excel
Multiple Spreadsheets
Manual Analysis</t>
  </si>
  <si>
    <t>Improve Project Success Rates</t>
  </si>
  <si>
    <t>More projects delivered as agreed on time, cost, scope and quality expectations due to following standard processes</t>
  </si>
  <si>
    <t>Metrics</t>
  </si>
  <si>
    <t>Time</t>
  </si>
  <si>
    <t xml:space="preserve">Cost </t>
  </si>
  <si>
    <t>Scope</t>
  </si>
  <si>
    <t>Quality</t>
  </si>
  <si>
    <t>Factor</t>
  </si>
  <si>
    <t>Notes</t>
  </si>
  <si>
    <t>50% of projects run over time. Assuming that this costs about an extra 20% on project time (opex or labour) costs</t>
  </si>
  <si>
    <t>Current Cost</t>
  </si>
  <si>
    <t>Saving</t>
  </si>
  <si>
    <t>Project Overrun %</t>
  </si>
  <si>
    <t>Target Overrun %</t>
  </si>
  <si>
    <t>Target Cost</t>
  </si>
  <si>
    <t>Budget Label</t>
  </si>
  <si>
    <t>CAPEX Budget</t>
  </si>
  <si>
    <t>Resource/ OPEX Budget</t>
  </si>
  <si>
    <t xml:space="preserve">Assuming that this costs about an extra 10% on project capex </t>
  </si>
  <si>
    <t>FY Budget</t>
  </si>
  <si>
    <t>Contingency Budget for Change</t>
  </si>
  <si>
    <t>Change of Scope can add about 25% to the project budget</t>
  </si>
  <si>
    <t>Reduction in Agreed Quality outcomes can impact benefits up to 50%</t>
  </si>
  <si>
    <t>Measured Above</t>
  </si>
  <si>
    <t>Aim for approximately 30% more projects executed, project duration decrease by 10% and reduction in project failure rates by 15%</t>
  </si>
  <si>
    <t>Total Salary/Costs for Project Managers</t>
  </si>
  <si>
    <t>Labour Costs</t>
  </si>
  <si>
    <t>Project Duration</t>
  </si>
  <si>
    <t>Project Failures</t>
  </si>
  <si>
    <t>Refers to cancelled projects. Wasted effort/time and money</t>
  </si>
  <si>
    <t>Delivering projects quicker due to timely decision making</t>
  </si>
  <si>
    <t>Total Portfolio Value</t>
  </si>
  <si>
    <t>Direct Financial Benefits</t>
  </si>
  <si>
    <t>Efficiency Benefits</t>
  </si>
  <si>
    <t>Cost Avoidance</t>
  </si>
  <si>
    <t>Project Managers</t>
  </si>
  <si>
    <t>Team Members</t>
  </si>
  <si>
    <t>Project Administrators</t>
  </si>
  <si>
    <t>Total Hours spent on Administrative Tasks for the year</t>
  </si>
  <si>
    <t>No. of People</t>
  </si>
  <si>
    <t>Reduction Rate</t>
  </si>
  <si>
    <t>Complicated Teams</t>
  </si>
  <si>
    <t>Less Complicated Teams</t>
  </si>
  <si>
    <t>Total Number of Large Projects</t>
  </si>
  <si>
    <t>Total Number of Small Projects</t>
  </si>
  <si>
    <t>Best Case</t>
  </si>
  <si>
    <t>Expected Case</t>
  </si>
  <si>
    <t>Worst Case</t>
  </si>
  <si>
    <t>Weighted Extra Cost %</t>
  </si>
  <si>
    <t>Best Case Extra Cost</t>
  </si>
  <si>
    <t>Expected Case Extra Cost</t>
  </si>
  <si>
    <t>Worst Case Extra Cost</t>
  </si>
  <si>
    <t>Customer Satisfaction</t>
  </si>
  <si>
    <t>Team Communication</t>
  </si>
  <si>
    <t>PMO Efficiency</t>
  </si>
  <si>
    <t>Hours per week on unnecessary actions</t>
  </si>
  <si>
    <t>Cost per hour</t>
  </si>
  <si>
    <t>No. of PMO Staff</t>
  </si>
  <si>
    <t>Target Reduction</t>
  </si>
  <si>
    <t>Best Case Reduction Rate</t>
  </si>
  <si>
    <t>Expected Case Reduction Rate</t>
  </si>
  <si>
    <t>Worst Case Reduction Rate</t>
  </si>
  <si>
    <t>Admin Hrs per week</t>
  </si>
  <si>
    <t>Estimate for a 25%-50% reduction in time spent on administrative tasks and producing manual reports giving project managers 2-4 hours extra every week to spend on the high value tasks in the role</t>
  </si>
  <si>
    <t>1% Saving</t>
  </si>
  <si>
    <t>2% Saving</t>
  </si>
  <si>
    <t>4% Saving</t>
  </si>
  <si>
    <t>Total Hours Per Year</t>
  </si>
  <si>
    <t>1 Project Manager, 2 Team Members</t>
  </si>
  <si>
    <t>1 Project Manager, 1 Project Admin, 3 Team Members</t>
  </si>
  <si>
    <t>Project Numbers</t>
  </si>
  <si>
    <t>Total Admin Hrs per week</t>
  </si>
  <si>
    <t>Reduction Rate Saving</t>
  </si>
  <si>
    <t>Assumptions</t>
  </si>
  <si>
    <t>Productive Weeks in a year</t>
  </si>
  <si>
    <t>Best Case - Optimistic</t>
  </si>
  <si>
    <t>Expected Case - Most Likely</t>
  </si>
  <si>
    <t>Worst Case - Pessimistic</t>
  </si>
  <si>
    <t>3 Point Estimation Weightings</t>
  </si>
  <si>
    <t>Benefits Dashboard</t>
  </si>
  <si>
    <t>Productivity Rise and Cost Savings with Reporting and Administration Time</t>
  </si>
  <si>
    <t>3PE Savings</t>
  </si>
  <si>
    <t>Best Case Efficiency Improvement</t>
  </si>
  <si>
    <t>Likely Case Efficiency Improvement</t>
  </si>
  <si>
    <t>Worst Case Efficiency Improvement</t>
  </si>
  <si>
    <t>FY - Resource/ OPEX Budget</t>
  </si>
  <si>
    <t>FY - CAPEX Budget</t>
  </si>
  <si>
    <t>Benefits Reduction in Quality</t>
  </si>
  <si>
    <t>Total Portfolio Benefits Value</t>
  </si>
  <si>
    <t>Target Efficiency Improvement</t>
  </si>
  <si>
    <t>No of Project Managers</t>
  </si>
  <si>
    <t>Project Team Members</t>
  </si>
  <si>
    <t>Savings in unnecessary Admin tasks</t>
  </si>
  <si>
    <t>Reduction in hours and no. of meetings</t>
  </si>
  <si>
    <t>Large Projects</t>
  </si>
  <si>
    <t>Small Projects</t>
  </si>
  <si>
    <t>Target Saving</t>
  </si>
  <si>
    <t>Project Manager Rate (p/h)</t>
  </si>
  <si>
    <t>Project Team Members Rate (p/h)</t>
  </si>
  <si>
    <t>PMO Staff Member Rate (p/h)</t>
  </si>
  <si>
    <t>Target % for Projects that Overrun</t>
  </si>
  <si>
    <t>Current % of Projects that Overrun</t>
  </si>
  <si>
    <t>Overall totals for Benefts</t>
  </si>
  <si>
    <t>Hours per week unproductive / other admin time</t>
  </si>
  <si>
    <t>PPM Implementation Benefits Calculator</t>
  </si>
  <si>
    <t>Average Number of People working on Large Projects</t>
  </si>
  <si>
    <t>Average Number of People working on Small Projects</t>
  </si>
  <si>
    <t>No. of Projects in the Portfolio</t>
  </si>
  <si>
    <t>Percentage of Projects which are large</t>
  </si>
  <si>
    <t>Depending on the size, duration and nature, this will vary. 2 hours per week for more complicated projects and 1 hour per week for the less complicated projects</t>
  </si>
  <si>
    <t>Total Portfolio Cost</t>
  </si>
  <si>
    <t>Total Salary/Costs for PMs &amp; Project Admins/Coordinators</t>
  </si>
  <si>
    <t>No. of Project Admins/Coordinators</t>
  </si>
  <si>
    <t>Project Admins/Coordinators Rate (p/h)</t>
  </si>
  <si>
    <t>Licence Type</t>
  </si>
  <si>
    <t>P1</t>
  </si>
  <si>
    <t>P3</t>
  </si>
  <si>
    <t>P5</t>
  </si>
  <si>
    <t>Number of Users</t>
  </si>
  <si>
    <t>Total</t>
  </si>
  <si>
    <t>NZD ex GST</t>
  </si>
  <si>
    <t>Licence Cost p/m</t>
  </si>
  <si>
    <t>Licence Cost p/y</t>
  </si>
  <si>
    <t>Implementation &amp; Licence Costs</t>
  </si>
  <si>
    <t>Licence Costs</t>
  </si>
  <si>
    <t>Implementation Costs</t>
  </si>
  <si>
    <t>PPM Tool</t>
  </si>
  <si>
    <t>Benefits Mgt Tool</t>
  </si>
  <si>
    <t>Training</t>
  </si>
  <si>
    <t>Support (monthly)</t>
  </si>
  <si>
    <t>ROI Calculations</t>
  </si>
  <si>
    <t>Total Annual Cost</t>
  </si>
  <si>
    <t>Number of Years for Analysis</t>
  </si>
  <si>
    <t>Year 1</t>
  </si>
  <si>
    <t>Subsequent Years Cost</t>
  </si>
  <si>
    <t>ROI on 1% cost saving benefits</t>
  </si>
  <si>
    <t>ROI on 2% cost saving benefits</t>
  </si>
  <si>
    <t>ROI on 4% cost saving benefits</t>
  </si>
  <si>
    <t>ROI on 3PE cost saving benefits</t>
  </si>
  <si>
    <t>PowerBI</t>
  </si>
  <si>
    <t>PPM Benefits Calculator</t>
  </si>
  <si>
    <t>Imp &amp; Licence</t>
  </si>
  <si>
    <t>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</si>
</sst>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4"/>
      <color rgb="FFFF0000"/>
      <name val="Corbel"/>
      <family val="2"/>
    </font>
    <font>
      <b/>
      <sz val="14"/>
      <color theme="1"/>
      <name val="Corbe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orbel"/>
      <family val="2"/>
    </font>
    <font>
      <sz val="11"/>
      <name val="Corbel"/>
      <family val="2"/>
    </font>
    <font>
      <i/>
      <sz val="11"/>
      <color theme="1"/>
      <name val="Corbel"/>
      <family val="2"/>
    </font>
    <font>
      <b/>
      <i/>
      <sz val="14"/>
      <name val="Corbel"/>
      <family val="2"/>
    </font>
    <font>
      <sz val="8"/>
      <color theme="1"/>
      <name val="Corbel"/>
      <family val="2"/>
    </font>
    <font>
      <b/>
      <sz val="36"/>
      <color theme="1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44" fontId="3" fillId="0" borderId="0" xfId="0" applyNumberFormat="1" applyFont="1" applyAlignment="1">
      <alignment horizontal="left" vertical="top"/>
    </xf>
    <xf numFmtId="9" fontId="3" fillId="3" borderId="0" xfId="0" applyNumberFormat="1" applyFont="1" applyFill="1" applyAlignment="1">
      <alignment vertical="top"/>
    </xf>
    <xf numFmtId="44" fontId="3" fillId="3" borderId="0" xfId="1" applyFont="1" applyFill="1" applyAlignment="1">
      <alignment vertical="top"/>
    </xf>
    <xf numFmtId="44" fontId="6" fillId="3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9" fontId="3" fillId="2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top"/>
    </xf>
    <xf numFmtId="44" fontId="3" fillId="3" borderId="0" xfId="0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6" fontId="3" fillId="3" borderId="0" xfId="0" applyNumberFormat="1" applyFont="1" applyFill="1" applyAlignment="1">
      <alignment horizontal="left" vertical="top"/>
    </xf>
    <xf numFmtId="9" fontId="3" fillId="3" borderId="0" xfId="0" applyNumberFormat="1" applyFont="1" applyFill="1" applyAlignment="1">
      <alignment vertical="top" wrapText="1"/>
    </xf>
    <xf numFmtId="9" fontId="3" fillId="2" borderId="0" xfId="1" applyNumberFormat="1" applyFont="1" applyFill="1" applyAlignment="1">
      <alignment vertical="top" wrapText="1"/>
    </xf>
    <xf numFmtId="9" fontId="3" fillId="2" borderId="0" xfId="2" applyFont="1" applyFill="1" applyAlignment="1">
      <alignment vertical="top" wrapText="1"/>
    </xf>
    <xf numFmtId="44" fontId="4" fillId="3" borderId="0" xfId="0" applyNumberFormat="1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1" fontId="3" fillId="3" borderId="0" xfId="0" applyNumberFormat="1" applyFont="1" applyFill="1" applyAlignment="1">
      <alignment horizontal="left" vertical="top"/>
    </xf>
    <xf numFmtId="0" fontId="7" fillId="0" borderId="0" xfId="0" applyFont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3" fillId="2" borderId="0" xfId="0" applyFont="1" applyFill="1"/>
    <xf numFmtId="9" fontId="3" fillId="3" borderId="0" xfId="0" applyNumberFormat="1" applyFont="1" applyFill="1" applyAlignment="1">
      <alignment horizontal="left" vertical="top"/>
    </xf>
    <xf numFmtId="0" fontId="9" fillId="0" borderId="0" xfId="0" applyFont="1" applyAlignment="1"/>
    <xf numFmtId="0" fontId="4" fillId="0" borderId="0" xfId="0" applyFont="1" applyAlignment="1">
      <alignment horizontal="center" wrapText="1"/>
    </xf>
    <xf numFmtId="0" fontId="4" fillId="4" borderId="0" xfId="0" applyFont="1" applyFill="1" applyAlignment="1">
      <alignment horizontal="left" vertical="top" wrapText="1"/>
    </xf>
    <xf numFmtId="44" fontId="3" fillId="3" borderId="0" xfId="1" applyFont="1" applyFill="1" applyAlignment="1">
      <alignment horizontal="left" vertical="top"/>
    </xf>
    <xf numFmtId="9" fontId="3" fillId="3" borderId="0" xfId="2" applyFont="1" applyFill="1" applyAlignment="1">
      <alignment horizontal="left" vertical="top"/>
    </xf>
    <xf numFmtId="44" fontId="3" fillId="3" borderId="0" xfId="1" applyFont="1" applyFill="1" applyAlignment="1">
      <alignment vertical="top" wrapText="1"/>
    </xf>
    <xf numFmtId="9" fontId="3" fillId="3" borderId="0" xfId="1" applyNumberFormat="1" applyFont="1" applyFill="1" applyAlignment="1">
      <alignment vertical="top"/>
    </xf>
    <xf numFmtId="0" fontId="10" fillId="3" borderId="0" xfId="0" applyFont="1" applyFill="1" applyAlignment="1">
      <alignment horizontal="left" vertical="top"/>
    </xf>
    <xf numFmtId="0" fontId="4" fillId="0" borderId="1" xfId="0" applyFont="1" applyBorder="1"/>
    <xf numFmtId="0" fontId="3" fillId="9" borderId="4" xfId="0" applyFont="1" applyFill="1" applyBorder="1" applyAlignment="1">
      <alignment vertical="top" wrapText="1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11" fillId="6" borderId="4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3" fillId="6" borderId="4" xfId="0" applyFont="1" applyFill="1" applyBorder="1"/>
    <xf numFmtId="9" fontId="3" fillId="6" borderId="0" xfId="0" applyNumberFormat="1" applyFont="1" applyFill="1" applyBorder="1"/>
    <xf numFmtId="44" fontId="3" fillId="6" borderId="0" xfId="0" applyNumberFormat="1" applyFont="1" applyFill="1" applyBorder="1"/>
    <xf numFmtId="44" fontId="3" fillId="6" borderId="5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7" xfId="0" applyNumberFormat="1" applyFont="1" applyBorder="1"/>
    <xf numFmtId="44" fontId="3" fillId="0" borderId="8" xfId="0" applyNumberFormat="1" applyFont="1" applyBorder="1"/>
    <xf numFmtId="0" fontId="11" fillId="8" borderId="4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3" fillId="8" borderId="4" xfId="0" applyFont="1" applyFill="1" applyBorder="1"/>
    <xf numFmtId="9" fontId="3" fillId="8" borderId="0" xfId="0" applyNumberFormat="1" applyFont="1" applyFill="1" applyBorder="1"/>
    <xf numFmtId="44" fontId="3" fillId="8" borderId="0" xfId="0" applyNumberFormat="1" applyFont="1" applyFill="1" applyBorder="1"/>
    <xf numFmtId="44" fontId="3" fillId="8" borderId="5" xfId="0" applyNumberFormat="1" applyFont="1" applyFill="1" applyBorder="1"/>
    <xf numFmtId="0" fontId="3" fillId="5" borderId="4" xfId="0" applyFont="1" applyFill="1" applyBorder="1"/>
    <xf numFmtId="9" fontId="3" fillId="5" borderId="0" xfId="0" applyNumberFormat="1" applyFont="1" applyFill="1" applyBorder="1"/>
    <xf numFmtId="44" fontId="3" fillId="5" borderId="0" xfId="0" applyNumberFormat="1" applyFont="1" applyFill="1" applyBorder="1"/>
    <xf numFmtId="44" fontId="3" fillId="5" borderId="5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44" fontId="3" fillId="0" borderId="7" xfId="0" applyNumberFormat="1" applyFont="1" applyFill="1" applyBorder="1"/>
    <xf numFmtId="44" fontId="3" fillId="0" borderId="8" xfId="0" applyNumberFormat="1" applyFont="1" applyFill="1" applyBorder="1"/>
    <xf numFmtId="0" fontId="3" fillId="7" borderId="4" xfId="0" applyFont="1" applyFill="1" applyBorder="1"/>
    <xf numFmtId="9" fontId="3" fillId="7" borderId="0" xfId="0" applyNumberFormat="1" applyFont="1" applyFill="1" applyBorder="1"/>
    <xf numFmtId="44" fontId="3" fillId="7" borderId="0" xfId="0" applyNumberFormat="1" applyFont="1" applyFill="1" applyBorder="1"/>
    <xf numFmtId="44" fontId="3" fillId="7" borderId="5" xfId="0" applyNumberFormat="1" applyFont="1" applyFill="1" applyBorder="1"/>
    <xf numFmtId="9" fontId="3" fillId="9" borderId="0" xfId="0" applyNumberFormat="1" applyFont="1" applyFill="1" applyBorder="1"/>
    <xf numFmtId="44" fontId="3" fillId="9" borderId="0" xfId="0" applyNumberFormat="1" applyFont="1" applyFill="1" applyBorder="1"/>
    <xf numFmtId="44" fontId="3" fillId="9" borderId="5" xfId="0" applyNumberFormat="1" applyFont="1" applyFill="1" applyBorder="1"/>
    <xf numFmtId="0" fontId="12" fillId="4" borderId="0" xfId="0" applyFont="1" applyFill="1"/>
    <xf numFmtId="0" fontId="4" fillId="0" borderId="9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/>
    </xf>
    <xf numFmtId="0" fontId="3" fillId="2" borderId="10" xfId="2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64" fontId="3" fillId="2" borderId="10" xfId="1" applyNumberFormat="1" applyFont="1" applyFill="1" applyBorder="1" applyAlignment="1">
      <alignment horizontal="center"/>
    </xf>
    <xf numFmtId="9" fontId="3" fillId="2" borderId="10" xfId="2" applyFont="1" applyFill="1" applyBorder="1" applyAlignment="1">
      <alignment horizontal="center"/>
    </xf>
    <xf numFmtId="44" fontId="3" fillId="2" borderId="10" xfId="0" applyNumberFormat="1" applyFont="1" applyFill="1" applyBorder="1" applyAlignment="1">
      <alignment horizontal="center" vertical="top"/>
    </xf>
    <xf numFmtId="9" fontId="3" fillId="2" borderId="10" xfId="0" applyNumberFormat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 vertical="top" wrapText="1"/>
    </xf>
    <xf numFmtId="44" fontId="3" fillId="3" borderId="10" xfId="0" applyNumberFormat="1" applyFont="1" applyFill="1" applyBorder="1" applyAlignment="1">
      <alignment horizontal="center" vertical="top"/>
    </xf>
    <xf numFmtId="0" fontId="4" fillId="0" borderId="12" xfId="0" applyFont="1" applyBorder="1"/>
    <xf numFmtId="0" fontId="4" fillId="0" borderId="13" xfId="0" applyFont="1" applyBorder="1"/>
    <xf numFmtId="44" fontId="4" fillId="0" borderId="13" xfId="0" applyNumberFormat="1" applyFont="1" applyBorder="1"/>
    <xf numFmtId="44" fontId="4" fillId="0" borderId="14" xfId="0" applyNumberFormat="1" applyFont="1" applyBorder="1"/>
    <xf numFmtId="0" fontId="3" fillId="0" borderId="3" xfId="0" applyFont="1" applyBorder="1"/>
    <xf numFmtId="44" fontId="3" fillId="2" borderId="0" xfId="1" applyFont="1" applyFill="1" applyBorder="1"/>
    <xf numFmtId="44" fontId="3" fillId="2" borderId="5" xfId="1" applyFont="1" applyFill="1" applyBorder="1"/>
    <xf numFmtId="44" fontId="3" fillId="3" borderId="0" xfId="0" applyNumberFormat="1" applyFont="1" applyFill="1" applyBorder="1"/>
    <xf numFmtId="44" fontId="3" fillId="3" borderId="5" xfId="0" applyNumberFormat="1" applyFont="1" applyFill="1" applyBorder="1"/>
    <xf numFmtId="44" fontId="3" fillId="3" borderId="7" xfId="0" applyNumberFormat="1" applyFont="1" applyFill="1" applyBorder="1"/>
    <xf numFmtId="44" fontId="3" fillId="3" borderId="8" xfId="0" applyNumberFormat="1" applyFont="1" applyFill="1" applyBorder="1"/>
    <xf numFmtId="0" fontId="13" fillId="0" borderId="2" xfId="0" applyFont="1" applyBorder="1"/>
    <xf numFmtId="0" fontId="3" fillId="2" borderId="5" xfId="0" applyFont="1" applyFill="1" applyBorder="1"/>
    <xf numFmtId="44" fontId="3" fillId="3" borderId="5" xfId="1" applyFont="1" applyFill="1" applyBorder="1"/>
    <xf numFmtId="0" fontId="3" fillId="2" borderId="0" xfId="0" applyFont="1" applyFill="1" applyBorder="1"/>
    <xf numFmtId="44" fontId="3" fillId="3" borderId="16" xfId="0" applyNumberFormat="1" applyFont="1" applyFill="1" applyBorder="1"/>
    <xf numFmtId="0" fontId="3" fillId="0" borderId="16" xfId="0" applyFont="1" applyBorder="1"/>
    <xf numFmtId="44" fontId="3" fillId="3" borderId="17" xfId="0" applyNumberFormat="1" applyFont="1" applyFill="1" applyBorder="1"/>
    <xf numFmtId="44" fontId="3" fillId="3" borderId="13" xfId="0" applyNumberFormat="1" applyFont="1" applyFill="1" applyBorder="1"/>
    <xf numFmtId="44" fontId="3" fillId="3" borderId="14" xfId="0" applyNumberFormat="1" applyFont="1" applyFill="1" applyBorder="1"/>
    <xf numFmtId="44" fontId="3" fillId="3" borderId="11" xfId="0" applyNumberFormat="1" applyFont="1" applyFill="1" applyBorder="1"/>
    <xf numFmtId="0" fontId="4" fillId="0" borderId="6" xfId="0" applyFont="1" applyBorder="1"/>
    <xf numFmtId="0" fontId="4" fillId="0" borderId="15" xfId="0" applyFont="1" applyBorder="1" applyAlignment="1">
      <alignment wrapText="1"/>
    </xf>
    <xf numFmtId="44" fontId="3" fillId="3" borderId="11" xfId="1" applyFont="1" applyFill="1" applyBorder="1"/>
    <xf numFmtId="44" fontId="3" fillId="0" borderId="16" xfId="0" applyNumberFormat="1" applyFont="1" applyFill="1" applyBorder="1"/>
    <xf numFmtId="0" fontId="3" fillId="0" borderId="15" xfId="0" applyFont="1" applyBorder="1" applyAlignment="1">
      <alignment wrapText="1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3" fillId="0" borderId="0" xfId="0" applyFont="1" applyFill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44" fontId="3" fillId="3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9" fontId="3" fillId="3" borderId="0" xfId="0" applyNumberFormat="1" applyFont="1" applyFill="1" applyAlignment="1">
      <alignment horizontal="left" vertical="top"/>
    </xf>
    <xf numFmtId="44" fontId="3" fillId="3" borderId="0" xfId="1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14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</xdr:rowOff>
    </xdr:from>
    <xdr:to>
      <xdr:col>7</xdr:col>
      <xdr:colOff>47625</xdr:colOff>
      <xdr:row>2</xdr:row>
      <xdr:rowOff>139738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3A7358-8995-494B-B605-B6ED4FCF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1"/>
          <a:ext cx="2790825" cy="1197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4D56-0F3B-4465-8227-1474219A4CA5}">
  <sheetPr>
    <pageSetUpPr fitToPage="1"/>
  </sheetPr>
  <dimension ref="A1:R45"/>
  <sheetViews>
    <sheetView tabSelected="1" topLeftCell="E1" workbookViewId="0">
      <selection activeCell="I1" sqref="I1:Q1"/>
    </sheetView>
  </sheetViews>
  <sheetFormatPr defaultColWidth="9.140625" defaultRowHeight="15" x14ac:dyDescent="0.25"/>
  <cols>
    <col min="1" max="1" width="40.140625" style="4" customWidth="1"/>
    <col min="2" max="3" width="3.28515625" style="4" customWidth="1"/>
    <col min="4" max="4" width="35.7109375" style="4" bestFit="1" customWidth="1"/>
    <col min="5" max="5" width="4.140625" style="4" customWidth="1"/>
    <col min="6" max="6" width="34" style="4" bestFit="1" customWidth="1"/>
    <col min="7" max="7" width="7.140625" style="4" customWidth="1"/>
    <col min="8" max="8" width="16.5703125" style="4" bestFit="1" customWidth="1"/>
    <col min="9" max="9" width="13.7109375" style="4" bestFit="1" customWidth="1"/>
    <col min="10" max="10" width="13.85546875" style="4" bestFit="1" customWidth="1"/>
    <col min="11" max="11" width="15.5703125" style="4" bestFit="1" customWidth="1"/>
    <col min="12" max="12" width="9.140625" style="4"/>
    <col min="13" max="13" width="39.7109375" style="4" bestFit="1" customWidth="1"/>
    <col min="14" max="18" width="15.28515625" style="4" customWidth="1"/>
    <col min="19" max="16384" width="9.140625" style="4"/>
  </cols>
  <sheetData>
    <row r="1" spans="1:18" ht="68.25" customHeight="1" x14ac:dyDescent="0.35">
      <c r="A1" s="43" t="s">
        <v>150</v>
      </c>
      <c r="B1" s="43"/>
      <c r="C1" s="43"/>
      <c r="D1" s="43"/>
      <c r="G1" s="43"/>
      <c r="I1" s="143" t="s">
        <v>186</v>
      </c>
      <c r="J1" s="143"/>
      <c r="K1" s="143"/>
      <c r="L1" s="143"/>
      <c r="M1" s="143"/>
      <c r="N1" s="143"/>
      <c r="O1" s="143"/>
      <c r="P1" s="143"/>
      <c r="Q1" s="143"/>
    </row>
    <row r="4" spans="1:18" ht="19.5" thickBot="1" x14ac:dyDescent="0.35">
      <c r="A4" s="92" t="s">
        <v>119</v>
      </c>
      <c r="B4" s="26"/>
      <c r="C4" s="26"/>
      <c r="F4" s="92" t="s">
        <v>125</v>
      </c>
      <c r="M4" s="92" t="s">
        <v>169</v>
      </c>
    </row>
    <row r="5" spans="1:18" x14ac:dyDescent="0.25">
      <c r="F5" s="51" t="s">
        <v>78</v>
      </c>
      <c r="G5" s="53"/>
      <c r="H5" s="54" t="s">
        <v>127</v>
      </c>
      <c r="I5" s="54" t="s">
        <v>110</v>
      </c>
      <c r="J5" s="54" t="s">
        <v>111</v>
      </c>
      <c r="K5" s="55" t="s">
        <v>112</v>
      </c>
      <c r="M5" s="51" t="s">
        <v>170</v>
      </c>
      <c r="N5" s="115" t="s">
        <v>166</v>
      </c>
      <c r="O5" s="53"/>
      <c r="P5" s="53"/>
      <c r="Q5" s="108"/>
    </row>
    <row r="6" spans="1:18" x14ac:dyDescent="0.25">
      <c r="A6" s="93" t="s">
        <v>136</v>
      </c>
      <c r="B6" s="6"/>
      <c r="C6" s="6"/>
      <c r="D6" s="96" t="s">
        <v>143</v>
      </c>
      <c r="F6" s="56" t="s">
        <v>138</v>
      </c>
      <c r="G6" s="57"/>
      <c r="H6" s="57"/>
      <c r="I6" s="57"/>
      <c r="J6" s="57"/>
      <c r="K6" s="58"/>
      <c r="M6" s="63" t="s">
        <v>160</v>
      </c>
      <c r="N6" s="64" t="s">
        <v>161</v>
      </c>
      <c r="O6" s="64" t="s">
        <v>162</v>
      </c>
      <c r="P6" s="64" t="s">
        <v>163</v>
      </c>
      <c r="Q6" s="65" t="s">
        <v>185</v>
      </c>
    </row>
    <row r="7" spans="1:18" x14ac:dyDescent="0.25">
      <c r="A7" s="94">
        <v>10</v>
      </c>
      <c r="B7" s="6"/>
      <c r="C7" s="6"/>
      <c r="D7" s="97">
        <v>125</v>
      </c>
      <c r="F7" s="59" t="s">
        <v>81</v>
      </c>
      <c r="G7" s="60">
        <f>'PPM Benefits Calculator'!N25</f>
        <v>0.35833333333333334</v>
      </c>
      <c r="H7" s="61">
        <f>N23*'PPM Benefits Calculator'!T25</f>
        <v>179166.66666666666</v>
      </c>
      <c r="I7" s="61">
        <f>N23*'PPM Benefits Calculator'!Q25</f>
        <v>5000</v>
      </c>
      <c r="J7" s="61">
        <f>N23*'PPM Benefits Calculator'!R25</f>
        <v>10000</v>
      </c>
      <c r="K7" s="62">
        <f>N23*'PPM Benefits Calculator'!S25</f>
        <v>20000</v>
      </c>
      <c r="M7" s="63" t="s">
        <v>167</v>
      </c>
      <c r="N7" s="109">
        <v>15.1</v>
      </c>
      <c r="O7" s="109">
        <v>45.4</v>
      </c>
      <c r="P7" s="109">
        <v>83.2</v>
      </c>
      <c r="Q7" s="110">
        <v>50</v>
      </c>
    </row>
    <row r="8" spans="1:18" ht="30" x14ac:dyDescent="0.25">
      <c r="A8" s="93" t="s">
        <v>158</v>
      </c>
      <c r="B8" s="6"/>
      <c r="C8" s="6"/>
      <c r="D8" s="96" t="s">
        <v>159</v>
      </c>
      <c r="F8" s="59" t="s">
        <v>137</v>
      </c>
      <c r="G8" s="60">
        <f>'PPM Benefits Calculator'!N26</f>
        <v>0.3</v>
      </c>
      <c r="H8" s="61">
        <f>N23*'PPM Benefits Calculator'!T26</f>
        <v>2175000</v>
      </c>
      <c r="I8" s="61">
        <f>N23*'PPM Benefits Calculator'!Q26</f>
        <v>72500</v>
      </c>
      <c r="J8" s="61">
        <f>N23*'PPM Benefits Calculator'!R26</f>
        <v>145000</v>
      </c>
      <c r="K8" s="62">
        <f>N23*'PPM Benefits Calculator'!S26</f>
        <v>290000</v>
      </c>
      <c r="M8" s="63" t="s">
        <v>168</v>
      </c>
      <c r="N8" s="111">
        <f>N7*12</f>
        <v>181.2</v>
      </c>
      <c r="O8" s="111">
        <f t="shared" ref="O8:Q8" si="0">O7*12</f>
        <v>544.79999999999995</v>
      </c>
      <c r="P8" s="111">
        <f t="shared" si="0"/>
        <v>998.40000000000009</v>
      </c>
      <c r="Q8" s="112">
        <f t="shared" si="0"/>
        <v>600</v>
      </c>
    </row>
    <row r="9" spans="1:18" ht="15.75" thickBot="1" x14ac:dyDescent="0.3">
      <c r="A9" s="94">
        <v>2</v>
      </c>
      <c r="B9" s="6"/>
      <c r="C9" s="6"/>
      <c r="D9" s="97">
        <v>65</v>
      </c>
      <c r="F9" s="59" t="s">
        <v>83</v>
      </c>
      <c r="G9" s="60">
        <f>'PPM Benefits Calculator'!N27</f>
        <v>0.29166666666666669</v>
      </c>
      <c r="H9" s="61">
        <f>N23*'PPM Benefits Calculator'!T27</f>
        <v>14583.333333333334</v>
      </c>
      <c r="I9" s="61">
        <f>N23*'PPM Benefits Calculator'!Q27</f>
        <v>500</v>
      </c>
      <c r="J9" s="61">
        <f>N23*'PPM Benefits Calculator'!R27</f>
        <v>1000</v>
      </c>
      <c r="K9" s="62">
        <f>N23*'PPM Benefits Calculator'!S27</f>
        <v>2000</v>
      </c>
      <c r="M9" s="63" t="s">
        <v>164</v>
      </c>
      <c r="N9" s="118">
        <v>100</v>
      </c>
      <c r="O9" s="118">
        <v>15</v>
      </c>
      <c r="P9" s="118">
        <v>10</v>
      </c>
      <c r="Q9" s="116">
        <v>2</v>
      </c>
    </row>
    <row r="10" spans="1:18" ht="15.75" thickBot="1" x14ac:dyDescent="0.3">
      <c r="A10" s="96" t="s">
        <v>103</v>
      </c>
      <c r="B10" s="6"/>
      <c r="C10" s="6"/>
      <c r="D10" s="96" t="s">
        <v>144</v>
      </c>
      <c r="F10" s="63"/>
      <c r="G10" s="64"/>
      <c r="H10" s="64"/>
      <c r="I10" s="64"/>
      <c r="J10" s="64"/>
      <c r="K10" s="65"/>
      <c r="M10" s="125" t="s">
        <v>177</v>
      </c>
      <c r="N10" s="113">
        <f>N9*N8</f>
        <v>18120</v>
      </c>
      <c r="O10" s="113">
        <f t="shared" ref="O10:Q10" si="1">O9*O8</f>
        <v>8171.9999999999991</v>
      </c>
      <c r="P10" s="113">
        <f t="shared" si="1"/>
        <v>9984</v>
      </c>
      <c r="Q10" s="114">
        <f t="shared" si="1"/>
        <v>1200</v>
      </c>
      <c r="R10" s="124">
        <f>SUM(N10:Q10)</f>
        <v>37476</v>
      </c>
    </row>
    <row r="11" spans="1:18" ht="15.75" thickBot="1" x14ac:dyDescent="0.3">
      <c r="A11" s="94">
        <v>4</v>
      </c>
      <c r="B11" s="6"/>
      <c r="C11" s="6"/>
      <c r="D11" s="97">
        <v>75</v>
      </c>
      <c r="F11" s="66"/>
      <c r="G11" s="67" t="s">
        <v>165</v>
      </c>
      <c r="H11" s="68">
        <f>SUM(H7,H8,H9)</f>
        <v>2368750</v>
      </c>
      <c r="I11" s="68">
        <f>SUM(I7,I8,I9)</f>
        <v>78000</v>
      </c>
      <c r="J11" s="68">
        <f>SUM(J7,J8,J9)</f>
        <v>156000</v>
      </c>
      <c r="K11" s="69">
        <f>SUM(K7,K8,K9)</f>
        <v>312000</v>
      </c>
      <c r="M11" s="104" t="str">
        <f>"Total Licence Costs for "&amp;N23&amp;" years"</f>
        <v>Total Licence Costs for 1 years</v>
      </c>
      <c r="N11" s="122">
        <f>$N$23*N10</f>
        <v>18120</v>
      </c>
      <c r="O11" s="122">
        <f t="shared" ref="O11:Q11" si="2">$N$23*O10</f>
        <v>8171.9999999999991</v>
      </c>
      <c r="P11" s="122">
        <f t="shared" si="2"/>
        <v>9984</v>
      </c>
      <c r="Q11" s="123">
        <f t="shared" si="2"/>
        <v>1200</v>
      </c>
      <c r="R11" s="121">
        <f>R10*N23</f>
        <v>37476</v>
      </c>
    </row>
    <row r="12" spans="1:18" ht="30.75" thickBot="1" x14ac:dyDescent="0.3">
      <c r="A12" s="93" t="s">
        <v>149</v>
      </c>
      <c r="B12" s="6"/>
      <c r="C12" s="6"/>
      <c r="D12" s="96" t="s">
        <v>145</v>
      </c>
    </row>
    <row r="13" spans="1:18" ht="30" x14ac:dyDescent="0.25">
      <c r="A13" s="94">
        <v>10</v>
      </c>
      <c r="B13" s="6"/>
      <c r="C13" s="6"/>
      <c r="D13" s="97">
        <v>75</v>
      </c>
      <c r="F13" s="51" t="s">
        <v>79</v>
      </c>
      <c r="G13" s="53"/>
      <c r="H13" s="54" t="s">
        <v>127</v>
      </c>
      <c r="I13" s="54" t="s">
        <v>110</v>
      </c>
      <c r="J13" s="54" t="s">
        <v>111</v>
      </c>
      <c r="K13" s="55" t="s">
        <v>112</v>
      </c>
      <c r="M13" s="51" t="s">
        <v>171</v>
      </c>
      <c r="N13" s="55" t="s">
        <v>179</v>
      </c>
      <c r="O13" s="129" t="s">
        <v>180</v>
      </c>
      <c r="P13" s="126" t="str">
        <f>"Total Cost for "&amp;N23&amp;" year(s)"</f>
        <v>Total Cost for 1 year(s)</v>
      </c>
    </row>
    <row r="14" spans="1:18" ht="30" x14ac:dyDescent="0.25">
      <c r="A14" s="93" t="s">
        <v>151</v>
      </c>
      <c r="D14" s="93" t="s">
        <v>152</v>
      </c>
      <c r="F14" s="70" t="s">
        <v>139</v>
      </c>
      <c r="G14" s="71"/>
      <c r="H14" s="71"/>
      <c r="I14" s="71"/>
      <c r="J14" s="71"/>
      <c r="K14" s="72"/>
      <c r="M14" s="63" t="s">
        <v>172</v>
      </c>
      <c r="N14" s="110">
        <v>99500</v>
      </c>
      <c r="O14" s="119">
        <f>IF($N$23=1,0*10%*N14,($N$23-1)*10%*N14)</f>
        <v>0</v>
      </c>
      <c r="P14" s="119">
        <f>N14+O14</f>
        <v>99500</v>
      </c>
    </row>
    <row r="15" spans="1:18" x14ac:dyDescent="0.25">
      <c r="A15" s="94">
        <v>5</v>
      </c>
      <c r="D15" s="94">
        <v>2</v>
      </c>
      <c r="F15" s="73" t="s">
        <v>140</v>
      </c>
      <c r="G15" s="74">
        <f>'PPM Benefits Calculator'!N30</f>
        <v>0.45</v>
      </c>
      <c r="H15" s="75">
        <f>N23*'PPM Benefits Calculator'!T30</f>
        <v>2241000</v>
      </c>
      <c r="I15" s="75">
        <f>N23*'PPM Benefits Calculator'!Q30</f>
        <v>49800</v>
      </c>
      <c r="J15" s="75">
        <f>N23*'PPM Benefits Calculator'!R30</f>
        <v>99600</v>
      </c>
      <c r="K15" s="76">
        <f>N23*'PPM Benefits Calculator'!S30</f>
        <v>199200</v>
      </c>
      <c r="M15" s="63" t="s">
        <v>173</v>
      </c>
      <c r="N15" s="110">
        <v>29500</v>
      </c>
      <c r="O15" s="120"/>
      <c r="P15" s="119">
        <f t="shared" ref="P15:P20" si="3">N15+O15</f>
        <v>29500</v>
      </c>
    </row>
    <row r="16" spans="1:18" ht="30" x14ac:dyDescent="0.25">
      <c r="A16" s="96" t="s">
        <v>153</v>
      </c>
      <c r="D16" s="96" t="s">
        <v>154</v>
      </c>
      <c r="F16" s="73" t="s">
        <v>141</v>
      </c>
      <c r="G16" s="74">
        <f>'PPM Benefits Calculator'!N31</f>
        <v>0.28333333333333338</v>
      </c>
      <c r="H16" s="75">
        <f>N23*'PPM Benefits Calculator'!T31</f>
        <v>436333.33333333343</v>
      </c>
      <c r="I16" s="75">
        <f>N23*'PPM Benefits Calculator'!Q31</f>
        <v>15400</v>
      </c>
      <c r="J16" s="75">
        <f>N23*'PPM Benefits Calculator'!R30</f>
        <v>99600</v>
      </c>
      <c r="K16" s="76">
        <f>N23*'PPM Benefits Calculator'!S31</f>
        <v>61600</v>
      </c>
      <c r="M16" s="63" t="s">
        <v>174</v>
      </c>
      <c r="N16" s="110">
        <v>12000</v>
      </c>
      <c r="O16" s="119">
        <f>IF(N23=1,0*75%*N16,(N23-1)*75%*N16)</f>
        <v>0</v>
      </c>
      <c r="P16" s="119">
        <f t="shared" si="3"/>
        <v>12000</v>
      </c>
    </row>
    <row r="17" spans="1:17" ht="14.25" customHeight="1" x14ac:dyDescent="0.25">
      <c r="A17" s="95">
        <v>100</v>
      </c>
      <c r="D17" s="98">
        <v>0.3</v>
      </c>
      <c r="F17" s="77" t="s">
        <v>100</v>
      </c>
      <c r="G17" s="78">
        <f>'PPM Benefits Calculator'!M13</f>
        <v>0.16666666666666666</v>
      </c>
      <c r="H17" s="79">
        <f>N23*'PPM Benefits Calculator'!T13</f>
        <v>20000</v>
      </c>
      <c r="I17" s="79">
        <f>N23*'PPM Benefits Calculator'!Q14</f>
        <v>1200</v>
      </c>
      <c r="J17" s="79">
        <f>N23*'PPM Benefits Calculator'!R14</f>
        <v>2400</v>
      </c>
      <c r="K17" s="80">
        <f>N23*'PPM Benefits Calculator'!S14</f>
        <v>4800</v>
      </c>
      <c r="M17" s="63" t="s">
        <v>175</v>
      </c>
      <c r="N17" s="110">
        <v>2500</v>
      </c>
      <c r="O17" s="120"/>
      <c r="P17" s="128"/>
    </row>
    <row r="18" spans="1:17" ht="30" x14ac:dyDescent="0.25">
      <c r="A18" s="93" t="s">
        <v>120</v>
      </c>
      <c r="D18" s="93" t="s">
        <v>157</v>
      </c>
      <c r="F18" s="63"/>
      <c r="G18" s="64"/>
      <c r="H18" s="64"/>
      <c r="I18" s="64"/>
      <c r="J18" s="64"/>
      <c r="K18" s="65"/>
      <c r="M18" s="63"/>
      <c r="O18" s="120"/>
      <c r="P18" s="128"/>
    </row>
    <row r="19" spans="1:17" ht="15.75" thickBot="1" x14ac:dyDescent="0.3">
      <c r="A19" s="94">
        <v>40</v>
      </c>
      <c r="C19" s="132"/>
      <c r="D19" s="99">
        <v>1500000</v>
      </c>
      <c r="F19" s="81"/>
      <c r="G19" s="82" t="s">
        <v>165</v>
      </c>
      <c r="H19" s="83">
        <f>SUM(H15,H16,H17)</f>
        <v>2697333.3333333335</v>
      </c>
      <c r="I19" s="83">
        <f>SUM(I15,I16,I17)</f>
        <v>66400</v>
      </c>
      <c r="J19" s="83">
        <f>SUM(J15,J16,J17)</f>
        <v>201600</v>
      </c>
      <c r="K19" s="84">
        <f>SUM(K15,K16,K17)</f>
        <v>265600</v>
      </c>
      <c r="M19" s="63" t="s">
        <v>188</v>
      </c>
      <c r="N19" s="117">
        <f>N17*12</f>
        <v>30000</v>
      </c>
      <c r="O19" s="119">
        <f>IF(N23=1,0*N23*N19,(N23-1)*N19)</f>
        <v>0</v>
      </c>
      <c r="P19" s="119">
        <f t="shared" si="3"/>
        <v>30000</v>
      </c>
      <c r="Q19" s="133" t="s">
        <v>187</v>
      </c>
    </row>
    <row r="20" spans="1:17" ht="15.75" thickBot="1" x14ac:dyDescent="0.3">
      <c r="A20" s="93" t="s">
        <v>131</v>
      </c>
      <c r="D20" s="96" t="s">
        <v>147</v>
      </c>
      <c r="M20" s="66" t="s">
        <v>165</v>
      </c>
      <c r="N20" s="127">
        <f>SUM(N14,N15,N16,N19)</f>
        <v>171000</v>
      </c>
      <c r="O20" s="124">
        <f>SUM(O14,O16,O19)</f>
        <v>0</v>
      </c>
      <c r="P20" s="124">
        <f t="shared" si="3"/>
        <v>171000</v>
      </c>
      <c r="Q20" s="124">
        <f>R11+P20</f>
        <v>208476</v>
      </c>
    </row>
    <row r="21" spans="1:17" ht="15.75" thickBot="1" x14ac:dyDescent="0.3">
      <c r="A21" s="102">
        <v>2500000</v>
      </c>
      <c r="D21" s="100">
        <v>0.4</v>
      </c>
      <c r="F21" s="51" t="s">
        <v>80</v>
      </c>
      <c r="G21" s="53"/>
      <c r="H21" s="54" t="s">
        <v>127</v>
      </c>
      <c r="I21" s="54" t="s">
        <v>110</v>
      </c>
      <c r="J21" s="54" t="s">
        <v>111</v>
      </c>
      <c r="K21" s="55" t="s">
        <v>112</v>
      </c>
    </row>
    <row r="22" spans="1:17" x14ac:dyDescent="0.25">
      <c r="A22" s="93" t="s">
        <v>132</v>
      </c>
      <c r="D22" s="96" t="s">
        <v>146</v>
      </c>
      <c r="F22" s="85" t="s">
        <v>74</v>
      </c>
      <c r="G22" s="86">
        <f>'PPM Benefits Calculator'!M19</f>
        <v>0.16666666666666666</v>
      </c>
      <c r="H22" s="87">
        <f>N23*'PPM Benefits Calculator'!T19</f>
        <v>1000000</v>
      </c>
      <c r="I22" s="87">
        <f>N23*'PPM Benefits Calculator'!Q19</f>
        <v>60000</v>
      </c>
      <c r="J22" s="87">
        <f>N23*'PPM Benefits Calculator'!R19</f>
        <v>120000</v>
      </c>
      <c r="K22" s="88">
        <f>N23*'PPM Benefits Calculator'!S19</f>
        <v>240000</v>
      </c>
      <c r="M22" s="51" t="s">
        <v>176</v>
      </c>
      <c r="N22" s="108"/>
    </row>
    <row r="23" spans="1:17" x14ac:dyDescent="0.25">
      <c r="A23" s="102">
        <v>3500000</v>
      </c>
      <c r="D23" s="100">
        <v>0.1</v>
      </c>
      <c r="F23" s="85" t="s">
        <v>72</v>
      </c>
      <c r="G23" s="86">
        <f>'PPM Benefits Calculator'!M21</f>
        <v>0.17500000000000002</v>
      </c>
      <c r="H23" s="87">
        <f>N23*'PPM Benefits Calculator'!T21</f>
        <v>262500</v>
      </c>
      <c r="I23" s="87">
        <f>N23*'PPM Benefits Calculator'!Q21</f>
        <v>15000</v>
      </c>
      <c r="J23" s="87">
        <f>N23*'PPM Benefits Calculator'!R21</f>
        <v>30000</v>
      </c>
      <c r="K23" s="88">
        <f>N23*'PPM Benefits Calculator'!S21</f>
        <v>60000</v>
      </c>
      <c r="M23" s="63" t="s">
        <v>178</v>
      </c>
      <c r="N23" s="116">
        <v>1</v>
      </c>
    </row>
    <row r="24" spans="1:17" x14ac:dyDescent="0.25">
      <c r="A24" s="93" t="s">
        <v>156</v>
      </c>
      <c r="B24" s="6"/>
      <c r="C24" s="6"/>
      <c r="D24" s="96" t="s">
        <v>134</v>
      </c>
      <c r="F24" s="52" t="s">
        <v>63</v>
      </c>
      <c r="G24" s="89">
        <f>'PPM Benefits Calculator'!M5</f>
        <v>0.16666666666666666</v>
      </c>
      <c r="H24" s="90">
        <f>N23*'PPM Benefits Calculator'!U5</f>
        <v>125000</v>
      </c>
      <c r="I24" s="90">
        <f>N23*'PPM Benefits Calculator'!R5</f>
        <v>4166.6666666666661</v>
      </c>
      <c r="J24" s="90">
        <f>N23*'PPM Benefits Calculator'!S5</f>
        <v>8333.3333333333321</v>
      </c>
      <c r="K24" s="91">
        <f>N23*'PPM Benefits Calculator'!T5</f>
        <v>16666.666666666664</v>
      </c>
      <c r="M24" s="63" t="s">
        <v>184</v>
      </c>
      <c r="N24" s="130">
        <f>(H31-$Q$20)*$N$23/$Q$20</f>
        <v>50.056636415382748</v>
      </c>
    </row>
    <row r="25" spans="1:17" x14ac:dyDescent="0.25">
      <c r="A25" s="103">
        <f>A21+A23</f>
        <v>6000000</v>
      </c>
      <c r="B25" s="6"/>
      <c r="C25" s="6"/>
      <c r="D25" s="101">
        <v>65000000</v>
      </c>
      <c r="F25" s="52" t="s">
        <v>62</v>
      </c>
      <c r="G25" s="89">
        <f>'PPM Benefits Calculator'!M6</f>
        <v>9.3333333333333338E-2</v>
      </c>
      <c r="H25" s="90">
        <f>N23*'PPM Benefits Calculator'!U6</f>
        <v>98000.000000000015</v>
      </c>
      <c r="I25" s="90">
        <f>N23*'PPM Benefits Calculator'!R6</f>
        <v>3266.666666666667</v>
      </c>
      <c r="J25" s="90">
        <f>N23*'PPM Benefits Calculator'!S6</f>
        <v>6533.3333333333339</v>
      </c>
      <c r="K25" s="91">
        <f>N23*'PPM Benefits Calculator'!T6</f>
        <v>13066.666666666668</v>
      </c>
      <c r="M25" s="63" t="s">
        <v>181</v>
      </c>
      <c r="N25" s="130">
        <f>(131-$Q$20)*$N$23/$Q$20</f>
        <v>-0.99937163030756537</v>
      </c>
    </row>
    <row r="26" spans="1:17" x14ac:dyDescent="0.25">
      <c r="B26" s="6"/>
      <c r="C26" s="6"/>
      <c r="F26" s="52" t="s">
        <v>66</v>
      </c>
      <c r="G26" s="89">
        <f>'PPM Benefits Calculator'!M7</f>
        <v>0.23333333333333336</v>
      </c>
      <c r="H26" s="90">
        <f>N23*'PPM Benefits Calculator'!U7</f>
        <v>420000.00000000012</v>
      </c>
      <c r="I26" s="90">
        <f>N23*'PPM Benefits Calculator'!R7</f>
        <v>14000.000000000002</v>
      </c>
      <c r="J26" s="90">
        <f>N23*'PPM Benefits Calculator'!S7</f>
        <v>28000.000000000004</v>
      </c>
      <c r="K26" s="91">
        <f>N23*'PPM Benefits Calculator'!T7</f>
        <v>56000.000000000007</v>
      </c>
      <c r="M26" s="63" t="s">
        <v>182</v>
      </c>
      <c r="N26" s="130">
        <f>(J31-$Q$20)*$N$23/$Q$20</f>
        <v>2.8148276060553732</v>
      </c>
    </row>
    <row r="27" spans="1:17" ht="15.75" thickBot="1" x14ac:dyDescent="0.3">
      <c r="A27" s="5" t="s">
        <v>124</v>
      </c>
      <c r="C27" s="6"/>
      <c r="F27" s="52" t="s">
        <v>133</v>
      </c>
      <c r="G27" s="89">
        <f>'PPM Benefits Calculator'!M8</f>
        <v>0.18833333333333332</v>
      </c>
      <c r="H27" s="90">
        <f>N23*'PPM Benefits Calculator'!U8</f>
        <v>3672500</v>
      </c>
      <c r="I27" s="90">
        <f>N23*'PPM Benefits Calculator'!R8</f>
        <v>122416.66666666666</v>
      </c>
      <c r="J27" s="90">
        <f>N23*'PPM Benefits Calculator'!S8</f>
        <v>244833.33333333331</v>
      </c>
      <c r="K27" s="91">
        <f>N23*'PPM Benefits Calculator'!T8</f>
        <v>489666.66666666663</v>
      </c>
      <c r="M27" s="66" t="s">
        <v>183</v>
      </c>
      <c r="N27" s="131">
        <f>(K31-$Q$20)*$N$23/$Q$20</f>
        <v>5.9696271992939236</v>
      </c>
    </row>
    <row r="28" spans="1:17" x14ac:dyDescent="0.25">
      <c r="A28" s="41" t="s">
        <v>121</v>
      </c>
      <c r="B28" s="41">
        <v>1</v>
      </c>
      <c r="C28" s="6"/>
      <c r="F28" s="63"/>
      <c r="G28" s="64"/>
      <c r="H28" s="64"/>
      <c r="I28" s="64"/>
      <c r="J28" s="64"/>
      <c r="K28" s="65"/>
    </row>
    <row r="29" spans="1:17" ht="15.75" thickBot="1" x14ac:dyDescent="0.3">
      <c r="A29" s="41" t="s">
        <v>122</v>
      </c>
      <c r="B29" s="41">
        <v>4</v>
      </c>
      <c r="C29" s="6"/>
      <c r="F29" s="66"/>
      <c r="G29" s="67" t="s">
        <v>165</v>
      </c>
      <c r="H29" s="68">
        <f>SUM(H22:H27)</f>
        <v>5578000</v>
      </c>
      <c r="I29" s="68">
        <f>SUM(I22:I27)</f>
        <v>218850</v>
      </c>
      <c r="J29" s="68">
        <f>SUM(J22:J27)</f>
        <v>437700</v>
      </c>
      <c r="K29" s="69">
        <f>SUM(K22:K27)</f>
        <v>875400</v>
      </c>
    </row>
    <row r="30" spans="1:17" ht="15.75" thickBot="1" x14ac:dyDescent="0.3">
      <c r="A30" s="41" t="s">
        <v>123</v>
      </c>
      <c r="B30" s="41">
        <v>1</v>
      </c>
      <c r="C30" s="6"/>
    </row>
    <row r="31" spans="1:17" ht="15.75" thickBot="1" x14ac:dyDescent="0.3">
      <c r="B31" s="6"/>
      <c r="C31" s="6"/>
      <c r="F31" s="104" t="s">
        <v>148</v>
      </c>
      <c r="G31" s="105" t="s">
        <v>165</v>
      </c>
      <c r="H31" s="106">
        <f>H11+H19+H29</f>
        <v>10644083.333333334</v>
      </c>
      <c r="I31" s="106">
        <f t="shared" ref="I31:K31" si="4">I11+I19+I29</f>
        <v>363250</v>
      </c>
      <c r="J31" s="106">
        <f t="shared" si="4"/>
        <v>795300</v>
      </c>
      <c r="K31" s="107">
        <f t="shared" si="4"/>
        <v>1453000</v>
      </c>
    </row>
    <row r="44" spans="1:3" x14ac:dyDescent="0.25">
      <c r="A44" s="5"/>
      <c r="B44" s="6"/>
      <c r="C44" s="6"/>
    </row>
    <row r="45" spans="1:3" x14ac:dyDescent="0.25">
      <c r="B45" s="6"/>
      <c r="C45" s="6"/>
    </row>
  </sheetData>
  <mergeCells count="1">
    <mergeCell ref="I1:Q1"/>
  </mergeCells>
  <pageMargins left="0.25" right="0.25" top="0.75" bottom="0.75" header="0.3" footer="0.3"/>
  <pageSetup paperSize="9" scale="4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6001-8DC5-49DA-98D7-7665C0BB09D3}">
  <sheetPr>
    <pageSetUpPr fitToPage="1"/>
  </sheetPr>
  <dimension ref="A1:V36"/>
  <sheetViews>
    <sheetView workbookViewId="0">
      <selection activeCell="B16" sqref="B16"/>
    </sheetView>
  </sheetViews>
  <sheetFormatPr defaultRowHeight="15" x14ac:dyDescent="0.25"/>
  <cols>
    <col min="1" max="1" width="25.5703125" customWidth="1"/>
    <col min="2" max="2" width="26.85546875" customWidth="1"/>
    <col min="3" max="3" width="26.42578125" customWidth="1"/>
    <col min="4" max="4" width="46.5703125" customWidth="1"/>
    <col min="5" max="5" width="4.140625" customWidth="1"/>
    <col min="6" max="6" width="13.85546875" customWidth="1"/>
    <col min="7" max="7" width="52.140625" customWidth="1"/>
    <col min="8" max="8" width="14" customWidth="1"/>
    <col min="9" max="9" width="15.7109375" customWidth="1"/>
    <col min="10" max="12" width="13.28515625" customWidth="1"/>
    <col min="13" max="13" width="12.28515625" customWidth="1"/>
    <col min="14" max="14" width="15.85546875" customWidth="1"/>
    <col min="15" max="15" width="20" bestFit="1" customWidth="1"/>
    <col min="16" max="16" width="16.28515625" bestFit="1" customWidth="1"/>
    <col min="17" max="17" width="19.85546875" bestFit="1" customWidth="1"/>
    <col min="18" max="18" width="17.5703125" bestFit="1" customWidth="1"/>
    <col min="19" max="19" width="17.85546875" bestFit="1" customWidth="1"/>
    <col min="20" max="20" width="19.7109375" bestFit="1" customWidth="1"/>
    <col min="21" max="21" width="19.5703125" bestFit="1" customWidth="1"/>
    <col min="22" max="22" width="20" customWidth="1"/>
  </cols>
  <sheetData>
    <row r="1" spans="1:21" ht="21" x14ac:dyDescent="0.35">
      <c r="A1" s="3" t="s">
        <v>186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1" ht="21" x14ac:dyDescent="0.35">
      <c r="A2" s="3"/>
      <c r="B2" s="4"/>
      <c r="C2" s="4"/>
      <c r="D2" s="4"/>
      <c r="E2" s="4"/>
      <c r="F2" s="4"/>
      <c r="G2" s="4"/>
      <c r="M2" s="4"/>
      <c r="N2" s="4"/>
      <c r="O2" s="4"/>
      <c r="P2" s="4"/>
      <c r="Q2" s="4"/>
      <c r="R2" s="4"/>
    </row>
    <row r="3" spans="1:21" ht="18.75" x14ac:dyDescent="0.3">
      <c r="A3" s="139" t="s">
        <v>34</v>
      </c>
      <c r="B3" s="139"/>
      <c r="C3" s="139"/>
      <c r="D3" s="139"/>
      <c r="E3" s="12"/>
      <c r="F3" s="26" t="s">
        <v>48</v>
      </c>
      <c r="G3" s="4"/>
      <c r="H3" s="4"/>
      <c r="I3" s="4"/>
      <c r="J3" s="5" t="s">
        <v>91</v>
      </c>
      <c r="K3" s="5" t="s">
        <v>92</v>
      </c>
      <c r="L3" s="5" t="s">
        <v>93</v>
      </c>
      <c r="M3" s="4"/>
      <c r="N3" s="4"/>
      <c r="O3" s="4"/>
      <c r="P3" s="4"/>
      <c r="Q3" s="4"/>
    </row>
    <row r="4" spans="1:21" ht="45" customHeight="1" x14ac:dyDescent="0.25">
      <c r="A4" s="5" t="s">
        <v>0</v>
      </c>
      <c r="B4" s="5" t="s">
        <v>1</v>
      </c>
      <c r="C4" s="5" t="s">
        <v>2</v>
      </c>
      <c r="D4" s="5" t="s">
        <v>35</v>
      </c>
      <c r="E4" s="5"/>
      <c r="F4" s="25" t="s">
        <v>53</v>
      </c>
      <c r="G4" s="27" t="s">
        <v>54</v>
      </c>
      <c r="H4" s="28" t="s">
        <v>61</v>
      </c>
      <c r="I4" s="27" t="s">
        <v>65</v>
      </c>
      <c r="J4" s="28" t="s">
        <v>95</v>
      </c>
      <c r="K4" s="28" t="s">
        <v>96</v>
      </c>
      <c r="L4" s="28" t="s">
        <v>97</v>
      </c>
      <c r="M4" s="28" t="s">
        <v>94</v>
      </c>
      <c r="N4" s="28" t="s">
        <v>58</v>
      </c>
      <c r="O4" s="27" t="s">
        <v>56</v>
      </c>
      <c r="P4" s="28" t="s">
        <v>59</v>
      </c>
      <c r="Q4" s="27" t="s">
        <v>60</v>
      </c>
      <c r="R4" s="39" t="s">
        <v>110</v>
      </c>
      <c r="S4" s="39" t="s">
        <v>111</v>
      </c>
      <c r="T4" s="39" t="s">
        <v>112</v>
      </c>
      <c r="U4" s="27" t="s">
        <v>57</v>
      </c>
    </row>
    <row r="5" spans="1:21" ht="46.5" customHeight="1" x14ac:dyDescent="0.25">
      <c r="A5" s="134" t="s">
        <v>47</v>
      </c>
      <c r="B5" s="134" t="s">
        <v>36</v>
      </c>
      <c r="C5" s="134" t="s">
        <v>37</v>
      </c>
      <c r="D5" s="134" t="s">
        <v>38</v>
      </c>
      <c r="E5" s="10"/>
      <c r="F5" s="15" t="s">
        <v>49</v>
      </c>
      <c r="G5" s="6" t="s">
        <v>55</v>
      </c>
      <c r="H5" s="6" t="s">
        <v>63</v>
      </c>
      <c r="I5" s="48">
        <f>'Control Panel and Dashboard'!A21</f>
        <v>2500000</v>
      </c>
      <c r="J5" s="34">
        <v>0.1</v>
      </c>
      <c r="K5" s="34">
        <v>0.15</v>
      </c>
      <c r="L5" s="34">
        <v>0.3</v>
      </c>
      <c r="M5" s="33">
        <f>((J5*[0]!Optimistic)+(K5*[0]!MostLikely)+(L5*[0]!Pessimistic))/6</f>
        <v>0.16666666666666666</v>
      </c>
      <c r="N5" s="33">
        <f>'Control Panel and Dashboard'!D21</f>
        <v>0.4</v>
      </c>
      <c r="O5" s="18">
        <f>$I5*$M5*N5</f>
        <v>166666.66666666666</v>
      </c>
      <c r="P5" s="49">
        <f>'Control Panel and Dashboard'!D23</f>
        <v>0.1</v>
      </c>
      <c r="Q5" s="18">
        <f>$I5*$M5*P5</f>
        <v>41666.666666666664</v>
      </c>
      <c r="R5" s="18">
        <f>$M5*$I5*1%</f>
        <v>4166.6666666666661</v>
      </c>
      <c r="S5" s="18">
        <f>$M5*$I5*2%</f>
        <v>8333.3333333333321</v>
      </c>
      <c r="T5" s="18">
        <f>$M5*$I5*4%</f>
        <v>16666.666666666664</v>
      </c>
      <c r="U5" s="18">
        <f>O5-Q5</f>
        <v>125000</v>
      </c>
    </row>
    <row r="6" spans="1:21" ht="27.95" customHeight="1" x14ac:dyDescent="0.25">
      <c r="A6" s="134"/>
      <c r="B6" s="134"/>
      <c r="C6" s="134"/>
      <c r="D6" s="134"/>
      <c r="E6" s="10"/>
      <c r="F6" s="15" t="s">
        <v>50</v>
      </c>
      <c r="G6" s="6" t="s">
        <v>64</v>
      </c>
      <c r="H6" s="6" t="s">
        <v>62</v>
      </c>
      <c r="I6" s="48">
        <f>'Control Panel and Dashboard'!A23</f>
        <v>3500000</v>
      </c>
      <c r="J6" s="35">
        <v>0.05</v>
      </c>
      <c r="K6" s="35">
        <v>0.08</v>
      </c>
      <c r="L6" s="35">
        <v>0.19</v>
      </c>
      <c r="M6" s="33">
        <f>((J6*[0]!Optimistic)+(K6*[0]!MostLikely)+(L6*[0]!Pessimistic))/6</f>
        <v>9.3333333333333338E-2</v>
      </c>
      <c r="N6" s="17">
        <f>N5</f>
        <v>0.4</v>
      </c>
      <c r="O6" s="18">
        <f>$I6*$M6*N6</f>
        <v>130666.66666666669</v>
      </c>
      <c r="P6" s="49">
        <f>P5</f>
        <v>0.1</v>
      </c>
      <c r="Q6" s="18">
        <f>$I6*$M6*P6</f>
        <v>32666.666666666672</v>
      </c>
      <c r="R6" s="18">
        <f t="shared" ref="R6:R8" si="0">$M6*$I6*1%</f>
        <v>3266.666666666667</v>
      </c>
      <c r="S6" s="18">
        <f t="shared" ref="S6:S8" si="1">$M6*$I6*2%</f>
        <v>6533.3333333333339</v>
      </c>
      <c r="T6" s="18">
        <f t="shared" ref="T6:T8" si="2">$M6*$I6*4%</f>
        <v>13066.666666666668</v>
      </c>
      <c r="U6" s="18">
        <f>O6-Q6</f>
        <v>98000.000000000015</v>
      </c>
    </row>
    <row r="7" spans="1:21" ht="50.25" customHeight="1" x14ac:dyDescent="0.25">
      <c r="A7" s="134"/>
      <c r="B7" s="134"/>
      <c r="C7" s="134"/>
      <c r="D7" s="134"/>
      <c r="E7" s="10"/>
      <c r="F7" s="15" t="s">
        <v>51</v>
      </c>
      <c r="G7" s="6" t="s">
        <v>67</v>
      </c>
      <c r="H7" s="6" t="s">
        <v>66</v>
      </c>
      <c r="I7" s="48">
        <f>SUM(I5:I6)</f>
        <v>6000000</v>
      </c>
      <c r="J7" s="35">
        <v>0.05</v>
      </c>
      <c r="K7" s="35">
        <v>0.2</v>
      </c>
      <c r="L7" s="35">
        <v>0.55000000000000004</v>
      </c>
      <c r="M7" s="33">
        <f>((J7*[0]!Optimistic)+(K7*[0]!MostLikely)+(L7*[0]!Pessimistic))/6</f>
        <v>0.23333333333333336</v>
      </c>
      <c r="N7" s="17">
        <f>N5</f>
        <v>0.4</v>
      </c>
      <c r="O7" s="18">
        <f>$I7*$M7*N7</f>
        <v>560000.00000000012</v>
      </c>
      <c r="P7" s="49">
        <f>P6</f>
        <v>0.1</v>
      </c>
      <c r="Q7" s="18">
        <f>$I7*$M7*P7</f>
        <v>140000.00000000003</v>
      </c>
      <c r="R7" s="18">
        <f t="shared" si="0"/>
        <v>14000.000000000002</v>
      </c>
      <c r="S7" s="18">
        <f t="shared" si="1"/>
        <v>28000.000000000004</v>
      </c>
      <c r="T7" s="18">
        <f t="shared" si="2"/>
        <v>56000.000000000007</v>
      </c>
      <c r="U7" s="18">
        <f>O7-Q7</f>
        <v>420000.00000000012</v>
      </c>
    </row>
    <row r="8" spans="1:21" ht="45" x14ac:dyDescent="0.25">
      <c r="A8" s="134"/>
      <c r="B8" s="134"/>
      <c r="C8" s="134"/>
      <c r="D8" s="134"/>
      <c r="E8" s="10"/>
      <c r="F8" s="15" t="s">
        <v>52</v>
      </c>
      <c r="G8" s="6" t="s">
        <v>68</v>
      </c>
      <c r="H8" s="6" t="s">
        <v>133</v>
      </c>
      <c r="I8" s="48">
        <f>'Control Panel and Dashboard'!D25</f>
        <v>65000000</v>
      </c>
      <c r="J8" s="35">
        <v>0.03</v>
      </c>
      <c r="K8" s="35">
        <v>0.13</v>
      </c>
      <c r="L8" s="35">
        <v>0.57999999999999996</v>
      </c>
      <c r="M8" s="33">
        <f>((J8*[0]!Optimistic)+(K8*[0]!MostLikely)+(L8*[0]!Pessimistic))/6</f>
        <v>0.18833333333333332</v>
      </c>
      <c r="N8" s="17">
        <f>N5</f>
        <v>0.4</v>
      </c>
      <c r="O8" s="18">
        <f>$I8*$M8*N8</f>
        <v>4896666.666666667</v>
      </c>
      <c r="P8" s="49">
        <f>P7</f>
        <v>0.1</v>
      </c>
      <c r="Q8" s="18">
        <f>$I8*$M8*P8</f>
        <v>1224166.6666666667</v>
      </c>
      <c r="R8" s="18">
        <f t="shared" si="0"/>
        <v>122416.66666666666</v>
      </c>
      <c r="S8" s="18">
        <f t="shared" si="1"/>
        <v>244833.33333333331</v>
      </c>
      <c r="T8" s="18">
        <f t="shared" si="2"/>
        <v>489666.66666666663</v>
      </c>
      <c r="U8" s="18">
        <f>O8-Q8</f>
        <v>3672500</v>
      </c>
    </row>
    <row r="9" spans="1:21" s="2" customFormat="1" ht="30.95" customHeight="1" x14ac:dyDescent="0.25">
      <c r="A9" s="134" t="s">
        <v>4</v>
      </c>
      <c r="B9" s="134" t="s">
        <v>28</v>
      </c>
      <c r="C9" s="134" t="s">
        <v>5</v>
      </c>
      <c r="D9" s="134" t="s">
        <v>6</v>
      </c>
      <c r="E9" s="7"/>
      <c r="F9" s="11" t="s">
        <v>98</v>
      </c>
      <c r="G9" s="8"/>
      <c r="H9" s="8"/>
      <c r="I9" s="8"/>
      <c r="J9" s="8"/>
      <c r="K9" s="8"/>
      <c r="L9" s="8"/>
      <c r="M9" s="8"/>
      <c r="N9" s="8"/>
      <c r="O9" s="14"/>
      <c r="P9" s="14"/>
      <c r="Q9" s="14"/>
      <c r="R9" s="14"/>
    </row>
    <row r="10" spans="1:21" s="2" customFormat="1" ht="30.95" customHeight="1" x14ac:dyDescent="0.25">
      <c r="A10" s="134"/>
      <c r="B10" s="134"/>
      <c r="C10" s="134"/>
      <c r="D10" s="134"/>
      <c r="E10" s="11"/>
      <c r="F10" s="11" t="s">
        <v>99</v>
      </c>
      <c r="G10" s="8"/>
      <c r="H10" s="8"/>
      <c r="I10" s="8"/>
      <c r="J10" s="8"/>
      <c r="K10" s="8"/>
      <c r="L10" s="8"/>
      <c r="M10" s="8"/>
      <c r="N10" s="8"/>
      <c r="O10" s="14"/>
      <c r="P10" s="14"/>
      <c r="Q10" s="14"/>
      <c r="R10" s="14"/>
    </row>
    <row r="11" spans="1:21" s="2" customFormat="1" ht="30.95" customHeight="1" x14ac:dyDescent="0.25">
      <c r="A11" s="11"/>
      <c r="B11" s="11"/>
      <c r="C11" s="11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19">
        <f t="shared" ref="O11:T11" si="3">SUM(O5:O10)</f>
        <v>5754000</v>
      </c>
      <c r="P11" s="14"/>
      <c r="Q11" s="19">
        <f t="shared" si="3"/>
        <v>1438500</v>
      </c>
      <c r="R11" s="19">
        <f t="shared" si="3"/>
        <v>143850</v>
      </c>
      <c r="S11" s="19">
        <f t="shared" si="3"/>
        <v>287700</v>
      </c>
      <c r="T11" s="19">
        <f t="shared" si="3"/>
        <v>575400</v>
      </c>
      <c r="U11" s="19">
        <f>SUM(U5:U10)</f>
        <v>4315500</v>
      </c>
    </row>
    <row r="12" spans="1:21" s="2" customFormat="1" ht="60" x14ac:dyDescent="0.25">
      <c r="A12" s="11"/>
      <c r="B12" s="11"/>
      <c r="C12" s="11"/>
      <c r="D12" s="11"/>
      <c r="E12" s="11"/>
      <c r="F12" s="11"/>
      <c r="G12" s="8"/>
      <c r="H12" s="30" t="s">
        <v>103</v>
      </c>
      <c r="I12" s="30" t="s">
        <v>101</v>
      </c>
      <c r="J12" s="28" t="s">
        <v>128</v>
      </c>
      <c r="K12" s="28" t="s">
        <v>129</v>
      </c>
      <c r="L12" s="28" t="s">
        <v>130</v>
      </c>
      <c r="M12" s="44" t="s">
        <v>104</v>
      </c>
      <c r="N12" s="29" t="s">
        <v>102</v>
      </c>
      <c r="Q12" s="39" t="s">
        <v>110</v>
      </c>
      <c r="R12" s="39" t="s">
        <v>111</v>
      </c>
      <c r="S12" s="39" t="s">
        <v>112</v>
      </c>
      <c r="T12" s="29" t="s">
        <v>142</v>
      </c>
    </row>
    <row r="13" spans="1:21" s="2" customFormat="1" ht="30.75" customHeight="1" x14ac:dyDescent="0.25">
      <c r="A13" s="7" t="s">
        <v>7</v>
      </c>
      <c r="B13" s="7" t="s">
        <v>8</v>
      </c>
      <c r="C13" s="7" t="s">
        <v>9</v>
      </c>
      <c r="D13" s="7" t="s">
        <v>10</v>
      </c>
      <c r="E13" s="7"/>
      <c r="F13" s="8" t="s">
        <v>100</v>
      </c>
      <c r="G13" s="8"/>
      <c r="H13" s="23">
        <f>'Control Panel and Dashboard'!A11</f>
        <v>4</v>
      </c>
      <c r="I13" s="23">
        <f>'Control Panel and Dashboard'!A13</f>
        <v>10</v>
      </c>
      <c r="J13" s="34">
        <v>0.1</v>
      </c>
      <c r="K13" s="34">
        <v>0.15</v>
      </c>
      <c r="L13" s="34">
        <v>0.3</v>
      </c>
      <c r="M13" s="33">
        <f>((J13*[0]!Optimistic)+(K13*[0]!MostLikely)+(L13*[0]!Pessimistic))/6</f>
        <v>0.16666666666666666</v>
      </c>
      <c r="N13" s="46">
        <f>'Control Panel and Dashboard'!D13</f>
        <v>75</v>
      </c>
      <c r="Q13" s="47">
        <v>0.01</v>
      </c>
      <c r="R13" s="47">
        <v>0.02</v>
      </c>
      <c r="S13" s="47">
        <v>0.04</v>
      </c>
      <c r="T13" s="36">
        <f>($H$13*$I$13*$N$13*pweeks)*M13</f>
        <v>20000</v>
      </c>
    </row>
    <row r="14" spans="1:21" s="2" customFormat="1" ht="18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Q14" s="36">
        <f>($H$13*$I$13*$N$13*pweeks)*Q13</f>
        <v>1200</v>
      </c>
      <c r="R14" s="36">
        <f>($H$13*$I$13*$N$13*pweeks)*R13</f>
        <v>2400</v>
      </c>
      <c r="S14" s="36">
        <f>($H$13*$I$13*$N$13*pweeks)*S13</f>
        <v>4800</v>
      </c>
    </row>
    <row r="15" spans="1:21" s="2" customFormat="1" ht="18.75" x14ac:dyDescent="0.25">
      <c r="A15" s="139" t="s">
        <v>46</v>
      </c>
      <c r="B15" s="139"/>
      <c r="C15" s="139"/>
      <c r="D15" s="139"/>
      <c r="E15" s="12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1" s="2" customFormat="1" x14ac:dyDescent="0.25">
      <c r="A16" s="45" t="s">
        <v>0</v>
      </c>
      <c r="B16" s="45" t="s">
        <v>1</v>
      </c>
      <c r="C16" s="45" t="s">
        <v>2</v>
      </c>
      <c r="D16" s="45" t="s">
        <v>3</v>
      </c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2" s="2" customFormat="1" ht="60" x14ac:dyDescent="0.25">
      <c r="A17" s="7" t="s">
        <v>11</v>
      </c>
      <c r="B17" s="7" t="s">
        <v>12</v>
      </c>
      <c r="C17" s="7" t="s">
        <v>27</v>
      </c>
      <c r="D17" s="7" t="s">
        <v>13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2" s="2" customFormat="1" ht="60" x14ac:dyDescent="0.25">
      <c r="A18" s="7" t="s">
        <v>14</v>
      </c>
      <c r="B18" s="7" t="s">
        <v>29</v>
      </c>
      <c r="C18" s="7" t="s">
        <v>15</v>
      </c>
      <c r="D18" s="7" t="s">
        <v>16</v>
      </c>
      <c r="E18" s="7"/>
      <c r="F18" s="8"/>
      <c r="G18" s="20" t="s">
        <v>69</v>
      </c>
      <c r="H18" s="8"/>
      <c r="I18" s="31"/>
      <c r="J18" s="28" t="s">
        <v>128</v>
      </c>
      <c r="K18" s="28" t="s">
        <v>129</v>
      </c>
      <c r="L18" s="28" t="s">
        <v>130</v>
      </c>
      <c r="M18" s="44" t="s">
        <v>135</v>
      </c>
      <c r="Q18" s="39" t="s">
        <v>110</v>
      </c>
      <c r="R18" s="39" t="s">
        <v>111</v>
      </c>
      <c r="S18" s="39" t="s">
        <v>112</v>
      </c>
      <c r="T18" s="29" t="s">
        <v>142</v>
      </c>
    </row>
    <row r="19" spans="1:22" s="2" customFormat="1" ht="34.5" customHeight="1" x14ac:dyDescent="0.25">
      <c r="A19" s="134" t="s">
        <v>17</v>
      </c>
      <c r="B19" s="134" t="s">
        <v>30</v>
      </c>
      <c r="C19" s="134" t="s">
        <v>18</v>
      </c>
      <c r="D19" s="134" t="s">
        <v>70</v>
      </c>
      <c r="E19" s="7"/>
      <c r="F19" s="7" t="s">
        <v>73</v>
      </c>
      <c r="G19" s="8" t="s">
        <v>76</v>
      </c>
      <c r="H19" s="135" t="s">
        <v>77</v>
      </c>
      <c r="I19" s="136">
        <f>'Control Panel and Dashboard'!A25</f>
        <v>6000000</v>
      </c>
      <c r="J19" s="142">
        <v>0.3</v>
      </c>
      <c r="K19" s="142">
        <v>0.15</v>
      </c>
      <c r="L19" s="142">
        <v>0.1</v>
      </c>
      <c r="M19" s="140">
        <f>((J19*[0]!Optimistic)+(K19*[0]!MostLikely)+(L19*[0]!Pessimistic))/6</f>
        <v>0.16666666666666666</v>
      </c>
      <c r="Q19" s="141">
        <f>$I19*1%</f>
        <v>60000</v>
      </c>
      <c r="R19" s="141">
        <f>$I19*2%</f>
        <v>120000</v>
      </c>
      <c r="S19" s="141">
        <f>$I19*4%</f>
        <v>240000</v>
      </c>
      <c r="T19" s="24">
        <f>M19*I19</f>
        <v>1000000</v>
      </c>
    </row>
    <row r="20" spans="1:22" s="2" customFormat="1" ht="34.5" customHeight="1" x14ac:dyDescent="0.25">
      <c r="A20" s="134"/>
      <c r="B20" s="134"/>
      <c r="C20" s="134"/>
      <c r="D20" s="134"/>
      <c r="E20" s="7"/>
      <c r="F20" s="7" t="s">
        <v>74</v>
      </c>
      <c r="G20" s="8" t="s">
        <v>75</v>
      </c>
      <c r="H20" s="135"/>
      <c r="I20" s="136"/>
      <c r="J20" s="142"/>
      <c r="K20" s="142"/>
      <c r="L20" s="142"/>
      <c r="M20" s="140"/>
      <c r="Q20" s="141"/>
      <c r="R20" s="141"/>
      <c r="S20" s="141"/>
      <c r="T20"/>
    </row>
    <row r="21" spans="1:22" s="2" customFormat="1" ht="60" x14ac:dyDescent="0.25">
      <c r="A21" s="7" t="s">
        <v>19</v>
      </c>
      <c r="B21" s="7" t="s">
        <v>31</v>
      </c>
      <c r="C21" s="7" t="s">
        <v>20</v>
      </c>
      <c r="D21" s="7" t="s">
        <v>21</v>
      </c>
      <c r="E21" s="7"/>
      <c r="F21" s="7" t="s">
        <v>72</v>
      </c>
      <c r="G21" s="8"/>
      <c r="H21" s="7" t="s">
        <v>71</v>
      </c>
      <c r="I21" s="46">
        <f>'Control Panel and Dashboard'!D19</f>
        <v>1500000</v>
      </c>
      <c r="J21" s="37">
        <v>0.35</v>
      </c>
      <c r="K21" s="37">
        <v>0.15</v>
      </c>
      <c r="L21" s="37">
        <v>0.1</v>
      </c>
      <c r="M21" s="42">
        <f>((J21*[0]!Optimistic)+(K21*[0]!MostLikely)+(L21*[0]!Pessimistic))/6</f>
        <v>0.17500000000000002</v>
      </c>
      <c r="Q21" s="18">
        <f>$I21*1%</f>
        <v>15000</v>
      </c>
      <c r="R21" s="18">
        <f>$I21*2%</f>
        <v>30000</v>
      </c>
      <c r="S21" s="18">
        <f>$I21*4%</f>
        <v>60000</v>
      </c>
      <c r="T21" s="24">
        <f>I21*M21</f>
        <v>262500</v>
      </c>
    </row>
    <row r="22" spans="1:22" s="2" customFormat="1" ht="18.75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T22" s="19">
        <f>SUM(T19:T21)</f>
        <v>1262500</v>
      </c>
    </row>
    <row r="23" spans="1:22" s="2" customFormat="1" ht="18.75" x14ac:dyDescent="0.25">
      <c r="A23" s="139" t="s">
        <v>126</v>
      </c>
      <c r="B23" s="139"/>
      <c r="C23" s="139"/>
      <c r="D23" s="139"/>
      <c r="E23" s="1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22" s="2" customFormat="1" ht="60" x14ac:dyDescent="0.25">
      <c r="A24" s="45" t="s">
        <v>0</v>
      </c>
      <c r="B24" s="45" t="s">
        <v>1</v>
      </c>
      <c r="C24" s="45" t="s">
        <v>2</v>
      </c>
      <c r="D24" s="45" t="s">
        <v>3</v>
      </c>
      <c r="E24" s="9"/>
      <c r="F24" s="8"/>
      <c r="G24" s="8"/>
      <c r="H24" s="8"/>
      <c r="I24" s="29" t="s">
        <v>85</v>
      </c>
      <c r="J24" s="30" t="s">
        <v>108</v>
      </c>
      <c r="K24" s="30" t="s">
        <v>105</v>
      </c>
      <c r="L24" s="30" t="s">
        <v>106</v>
      </c>
      <c r="M24" s="30" t="s">
        <v>107</v>
      </c>
      <c r="N24" s="30" t="s">
        <v>86</v>
      </c>
      <c r="O24" s="29" t="s">
        <v>113</v>
      </c>
      <c r="Q24" s="39" t="s">
        <v>110</v>
      </c>
      <c r="R24" s="39" t="s">
        <v>111</v>
      </c>
      <c r="S24" s="39" t="s">
        <v>112</v>
      </c>
      <c r="T24" s="30" t="s">
        <v>118</v>
      </c>
    </row>
    <row r="25" spans="1:22" s="2" customFormat="1" ht="99.75" customHeight="1" x14ac:dyDescent="0.25">
      <c r="A25" s="7" t="s">
        <v>42</v>
      </c>
      <c r="B25" s="137" t="s">
        <v>45</v>
      </c>
      <c r="C25" s="137" t="s">
        <v>41</v>
      </c>
      <c r="D25" s="138" t="s">
        <v>109</v>
      </c>
      <c r="E25" s="13"/>
      <c r="F25" s="7" t="s">
        <v>81</v>
      </c>
      <c r="G25" s="8"/>
      <c r="H25" s="7" t="s">
        <v>84</v>
      </c>
      <c r="I25" s="23">
        <f>'Control Panel and Dashboard'!A7</f>
        <v>10</v>
      </c>
      <c r="J25" s="23">
        <f>'Control Panel and Dashboard'!A13</f>
        <v>10</v>
      </c>
      <c r="K25" s="37">
        <v>0.5</v>
      </c>
      <c r="L25" s="37">
        <v>0.35</v>
      </c>
      <c r="M25" s="37">
        <v>0.25</v>
      </c>
      <c r="N25" s="42">
        <f>((K25*[0]!Optimistic)+(L25*[0]!MostLikely)+(M25*[0]!Pessimistic))/6</f>
        <v>0.35833333333333334</v>
      </c>
      <c r="O25" s="38">
        <f>I25*J25*pweeks</f>
        <v>4000</v>
      </c>
      <c r="Q25" s="24">
        <f>$O25*'Control Panel and Dashboard'!$D$7*1%</f>
        <v>5000</v>
      </c>
      <c r="R25" s="24">
        <f>$O25*'Control Panel and Dashboard'!$D$7*2%</f>
        <v>10000</v>
      </c>
      <c r="S25" s="24">
        <f>$O25*'Control Panel and Dashboard'!$D$7*4%</f>
        <v>20000</v>
      </c>
      <c r="T25" s="24">
        <f>$O25*'Control Panel and Dashboard'!$D$7*N25</f>
        <v>179166.66666666666</v>
      </c>
    </row>
    <row r="26" spans="1:22" s="2" customFormat="1" ht="42.75" customHeight="1" x14ac:dyDescent="0.25">
      <c r="A26" s="7" t="s">
        <v>43</v>
      </c>
      <c r="B26" s="137"/>
      <c r="C26" s="137"/>
      <c r="D26" s="138"/>
      <c r="E26" s="13"/>
      <c r="F26" s="7" t="s">
        <v>82</v>
      </c>
      <c r="G26" s="8"/>
      <c r="H26" s="7" t="s">
        <v>84</v>
      </c>
      <c r="I26" s="23">
        <f>(I30*'Control Panel and Dashboard'!A15)+(I31*'Control Panel and Dashboard'!D15)</f>
        <v>290</v>
      </c>
      <c r="J26" s="23">
        <f>J25/2</f>
        <v>5</v>
      </c>
      <c r="K26" s="37">
        <v>0.6</v>
      </c>
      <c r="L26" s="21">
        <v>0.25</v>
      </c>
      <c r="M26" s="37">
        <v>0.2</v>
      </c>
      <c r="N26" s="42">
        <f>((K26*[0]!Optimistic)+(L26*[0]!MostLikely)+(M26*[0]!Pessimistic))/6</f>
        <v>0.3</v>
      </c>
      <c r="O26" s="38">
        <f>I26*J26*pweeks</f>
        <v>58000</v>
      </c>
      <c r="Q26" s="24">
        <f>$O26*'Control Panel and Dashboard'!$D$7*1%</f>
        <v>72500</v>
      </c>
      <c r="R26" s="24">
        <f>$O26*'Control Panel and Dashboard'!$D$7*2%</f>
        <v>145000</v>
      </c>
      <c r="S26" s="24">
        <f>$O26*'Control Panel and Dashboard'!$D$7*4%</f>
        <v>290000</v>
      </c>
      <c r="T26" s="24">
        <f>$O26*'Control Panel and Dashboard'!$D$7*N26</f>
        <v>2175000</v>
      </c>
    </row>
    <row r="27" spans="1:22" s="2" customFormat="1" ht="75" x14ac:dyDescent="0.25">
      <c r="A27" s="7" t="s">
        <v>44</v>
      </c>
      <c r="B27" s="137"/>
      <c r="C27" s="137"/>
      <c r="D27" s="138"/>
      <c r="E27" s="13"/>
      <c r="F27" s="7" t="s">
        <v>83</v>
      </c>
      <c r="G27" s="8"/>
      <c r="H27" s="7" t="s">
        <v>84</v>
      </c>
      <c r="I27" s="23">
        <f>'Control Panel and Dashboard'!A9</f>
        <v>2</v>
      </c>
      <c r="J27" s="23">
        <f>J26</f>
        <v>5</v>
      </c>
      <c r="K27" s="37">
        <v>0.6</v>
      </c>
      <c r="L27" s="21">
        <v>0.25</v>
      </c>
      <c r="M27" s="37">
        <v>0.15</v>
      </c>
      <c r="N27" s="42">
        <f>((K27*[0]!Optimistic)+(L27*[0]!MostLikely)+(M27*[0]!Pessimistic))/6</f>
        <v>0.29166666666666669</v>
      </c>
      <c r="O27" s="38">
        <f>I27*J27*pweeks</f>
        <v>400</v>
      </c>
      <c r="Q27" s="24">
        <f>$O27*'Control Panel and Dashboard'!$D$7*1%</f>
        <v>500</v>
      </c>
      <c r="R27" s="24">
        <f>$O27*'Control Panel and Dashboard'!$D$7*2%</f>
        <v>1000</v>
      </c>
      <c r="S27" s="24">
        <f>$O27*'Control Panel and Dashboard'!$D$7*4%</f>
        <v>2000</v>
      </c>
      <c r="T27" s="24">
        <f>$O27*'Control Panel and Dashboard'!$D$7*N27</f>
        <v>14583.333333333334</v>
      </c>
    </row>
    <row r="28" spans="1:22" s="2" customFormat="1" ht="21" customHeight="1" x14ac:dyDescent="0.25">
      <c r="A28" s="11"/>
      <c r="B28" s="22"/>
      <c r="C28" s="22"/>
      <c r="D28" s="13"/>
      <c r="E28" s="13"/>
      <c r="F28" s="11"/>
      <c r="G28" s="8"/>
      <c r="H28" s="8"/>
      <c r="I28" s="8"/>
      <c r="J28" s="8"/>
      <c r="K28" s="8"/>
      <c r="L28" s="8"/>
      <c r="M28" s="8"/>
      <c r="N28" s="8"/>
      <c r="O28" s="8"/>
      <c r="Q28" s="19">
        <f>SUM(Q25:Q27)</f>
        <v>78000</v>
      </c>
      <c r="R28" s="19">
        <f>SUM(R25:R27)</f>
        <v>156000</v>
      </c>
      <c r="S28" s="19">
        <f>SUM(S25:S27)</f>
        <v>312000</v>
      </c>
      <c r="T28" s="19">
        <f>SUM(T25:T27)</f>
        <v>2368750</v>
      </c>
    </row>
    <row r="29" spans="1:22" s="2" customFormat="1" ht="60.75" customHeight="1" x14ac:dyDescent="0.25">
      <c r="A29" s="45" t="s">
        <v>0</v>
      </c>
      <c r="B29" s="45" t="s">
        <v>1</v>
      </c>
      <c r="C29" s="45" t="s">
        <v>2</v>
      </c>
      <c r="D29" s="45" t="s">
        <v>3</v>
      </c>
      <c r="E29" s="13"/>
      <c r="F29" s="11"/>
      <c r="G29" s="8"/>
      <c r="H29" s="11"/>
      <c r="I29" s="30" t="s">
        <v>116</v>
      </c>
      <c r="J29" s="30" t="s">
        <v>117</v>
      </c>
      <c r="K29" s="30" t="s">
        <v>105</v>
      </c>
      <c r="L29" s="30" t="s">
        <v>106</v>
      </c>
      <c r="M29" s="30" t="s">
        <v>107</v>
      </c>
      <c r="N29" s="30" t="s">
        <v>86</v>
      </c>
      <c r="O29" s="30"/>
      <c r="P29" s="29"/>
      <c r="Q29" s="39" t="s">
        <v>110</v>
      </c>
      <c r="R29" s="39" t="s">
        <v>111</v>
      </c>
      <c r="S29" s="39" t="s">
        <v>112</v>
      </c>
      <c r="T29" s="30" t="s">
        <v>118</v>
      </c>
    </row>
    <row r="30" spans="1:22" s="2" customFormat="1" ht="57" customHeight="1" x14ac:dyDescent="0.25">
      <c r="A30" s="134" t="s">
        <v>39</v>
      </c>
      <c r="B30" s="134" t="s">
        <v>40</v>
      </c>
      <c r="C30" s="134" t="s">
        <v>41</v>
      </c>
      <c r="D30" s="134" t="s">
        <v>155</v>
      </c>
      <c r="E30" s="7"/>
      <c r="F30" s="7" t="s">
        <v>87</v>
      </c>
      <c r="G30" s="40" t="s">
        <v>115</v>
      </c>
      <c r="H30" s="7" t="s">
        <v>89</v>
      </c>
      <c r="I30" s="50">
        <f>'Control Panel and Dashboard'!A17*'Control Panel and Dashboard'!D17</f>
        <v>30</v>
      </c>
      <c r="J30" s="23">
        <f>I30*'Control Panel and Dashboard'!A15*2</f>
        <v>300</v>
      </c>
      <c r="K30" s="37">
        <v>0.6</v>
      </c>
      <c r="L30" s="21">
        <v>0.5</v>
      </c>
      <c r="M30" s="37">
        <v>0.1</v>
      </c>
      <c r="N30" s="42">
        <f>((K30*[0]!Optimistic)+(L30*[0]!MostLikely)+(M30*[0]!Pessimistic))/6</f>
        <v>0.45</v>
      </c>
      <c r="O30" s="38">
        <f>J30*pweeks</f>
        <v>12000</v>
      </c>
      <c r="P30" s="32">
        <f>('Control Panel and Dashboard'!$D$7*1)+('Control Panel and Dashboard'!$D$9*1)+('Control Panel and Dashboard'!$D$11*3)</f>
        <v>415</v>
      </c>
      <c r="Q30" s="24">
        <f>$O30*$P30*1%</f>
        <v>49800</v>
      </c>
      <c r="R30" s="24">
        <f>$O30*$P30*2%</f>
        <v>99600</v>
      </c>
      <c r="S30" s="24">
        <f>$O30*$P30*4%</f>
        <v>199200</v>
      </c>
      <c r="T30" s="24">
        <f>$O30*$P30*N30</f>
        <v>2241000</v>
      </c>
    </row>
    <row r="31" spans="1:22" s="2" customFormat="1" ht="45" customHeight="1" x14ac:dyDescent="0.25">
      <c r="A31" s="134"/>
      <c r="B31" s="134"/>
      <c r="C31" s="134"/>
      <c r="D31" s="134"/>
      <c r="E31" s="7"/>
      <c r="F31" s="7" t="s">
        <v>88</v>
      </c>
      <c r="G31" s="40" t="s">
        <v>114</v>
      </c>
      <c r="H31" s="7" t="s">
        <v>90</v>
      </c>
      <c r="I31" s="50">
        <f>'Control Panel and Dashboard'!A17-'PPM Benefits Calculator'!I30</f>
        <v>70</v>
      </c>
      <c r="J31" s="23">
        <f>I31*'Control Panel and Dashboard'!D15*1</f>
        <v>140</v>
      </c>
      <c r="K31" s="37">
        <v>0.6</v>
      </c>
      <c r="L31" s="21">
        <v>0.25</v>
      </c>
      <c r="M31" s="37">
        <v>0.1</v>
      </c>
      <c r="N31" s="42">
        <f>((K31*[0]!Optimistic)+(L31*[0]!MostLikely)+(M31*[0]!Pessimistic))/6</f>
        <v>0.28333333333333338</v>
      </c>
      <c r="O31" s="38">
        <f>J31*pweeks</f>
        <v>5600</v>
      </c>
      <c r="P31" s="32">
        <f>('Control Panel and Dashboard'!$D$7*1)+('Control Panel and Dashboard'!$D$11*2)</f>
        <v>275</v>
      </c>
      <c r="Q31" s="24">
        <f>$O31*$P31*1%</f>
        <v>15400</v>
      </c>
      <c r="R31" s="24">
        <f>$O31*$P31*2%</f>
        <v>30800</v>
      </c>
      <c r="S31" s="24">
        <f>$O31*$P31*4%</f>
        <v>61600</v>
      </c>
      <c r="T31" s="24">
        <f>O31*P31*N31</f>
        <v>436333.33333333343</v>
      </c>
    </row>
    <row r="32" spans="1:22" s="2" customFormat="1" ht="75" x14ac:dyDescent="0.25">
      <c r="A32" s="7" t="s">
        <v>22</v>
      </c>
      <c r="B32" s="7" t="s">
        <v>32</v>
      </c>
      <c r="C32" s="7" t="s">
        <v>23</v>
      </c>
      <c r="D32" s="7" t="s">
        <v>24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V32" s="16"/>
    </row>
    <row r="33" spans="1:22" s="2" customFormat="1" ht="75" x14ac:dyDescent="0.25">
      <c r="A33" s="7" t="s">
        <v>25</v>
      </c>
      <c r="B33" s="7" t="s">
        <v>33</v>
      </c>
      <c r="C33" s="7" t="s">
        <v>26</v>
      </c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V33" s="16"/>
    </row>
    <row r="34" spans="1:22" ht="18.75" x14ac:dyDescent="0.25">
      <c r="A34" s="1"/>
      <c r="B34" s="1"/>
      <c r="C34" s="1"/>
      <c r="D34" s="1"/>
      <c r="E34" s="1"/>
      <c r="Q34" s="19">
        <f>SUM(Q30:Q33)</f>
        <v>65200</v>
      </c>
      <c r="R34" s="19">
        <f>SUM(R30:R33)</f>
        <v>130400</v>
      </c>
      <c r="S34" s="19">
        <f t="shared" ref="S34" si="4">SUM(S30:S33)</f>
        <v>260800</v>
      </c>
      <c r="T34" s="19">
        <f t="shared" ref="T34" si="5">SUM(T30:T33)</f>
        <v>2677333.3333333335</v>
      </c>
    </row>
    <row r="35" spans="1:22" x14ac:dyDescent="0.25">
      <c r="A35" s="1"/>
      <c r="B35" s="1"/>
      <c r="C35" s="1"/>
      <c r="D35" s="1"/>
      <c r="E35" s="1"/>
    </row>
    <row r="36" spans="1:22" x14ac:dyDescent="0.25">
      <c r="A36" s="1"/>
      <c r="B36" s="1"/>
      <c r="C36" s="1"/>
      <c r="D36" s="1"/>
      <c r="E36" s="1"/>
    </row>
  </sheetData>
  <mergeCells count="31">
    <mergeCell ref="M19:M20"/>
    <mergeCell ref="Q19:Q20"/>
    <mergeCell ref="R19:R20"/>
    <mergeCell ref="S19:S20"/>
    <mergeCell ref="J19:J20"/>
    <mergeCell ref="K19:K20"/>
    <mergeCell ref="L19:L20"/>
    <mergeCell ref="A15:D15"/>
    <mergeCell ref="A3:D3"/>
    <mergeCell ref="A5:A8"/>
    <mergeCell ref="B5:B8"/>
    <mergeCell ref="C5:C8"/>
    <mergeCell ref="D5:D8"/>
    <mergeCell ref="A9:A10"/>
    <mergeCell ref="B9:B10"/>
    <mergeCell ref="C9:C10"/>
    <mergeCell ref="D9:D10"/>
    <mergeCell ref="H19:H20"/>
    <mergeCell ref="I19:I20"/>
    <mergeCell ref="B25:B27"/>
    <mergeCell ref="C25:C27"/>
    <mergeCell ref="D25:D27"/>
    <mergeCell ref="A23:D23"/>
    <mergeCell ref="A30:A31"/>
    <mergeCell ref="B30:B31"/>
    <mergeCell ref="C30:C31"/>
    <mergeCell ref="D30:D31"/>
    <mergeCell ref="A19:A20"/>
    <mergeCell ref="B19:B20"/>
    <mergeCell ref="C19:C20"/>
    <mergeCell ref="D19:D20"/>
  </mergeCells>
  <phoneticPr fontId="8" type="noConversion"/>
  <pageMargins left="0.25" right="0.25" top="0.75" bottom="0.75" header="0.3" footer="0.3"/>
  <pageSetup paperSize="9" scale="34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49C2FF273F0E4F8487B395383C15C2" ma:contentTypeVersion="14" ma:contentTypeDescription="Create a new document." ma:contentTypeScope="" ma:versionID="d309374a60f6145842beeb72b41742ee">
  <xsd:schema xmlns:xsd="http://www.w3.org/2001/XMLSchema" xmlns:xs="http://www.w3.org/2001/XMLSchema" xmlns:p="http://schemas.microsoft.com/office/2006/metadata/properties" xmlns:ns2="23839aad-a4fc-4ebf-a8f1-edd2300763d8" xmlns:ns3="77e46002-8291-4b3b-a7bd-a4ca64aa88e5" targetNamespace="http://schemas.microsoft.com/office/2006/metadata/properties" ma:root="true" ma:fieldsID="6d1d24b2ca30313bd5fce73cc4284832" ns2:_="" ns3:_="">
    <xsd:import namespace="23839aad-a4fc-4ebf-a8f1-edd2300763d8"/>
    <xsd:import namespace="77e46002-8291-4b3b-a7bd-a4ca64aa88e5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k6e67aec43a041cf8b350323de3016c7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lient" minOccurs="0"/>
                <xsd:element ref="ns2:PrimaryFocusArea" minOccurs="0"/>
                <xsd:element ref="ns2:P3M" minOccurs="0"/>
                <xsd:element ref="ns2:EPIC" minOccurs="0"/>
                <xsd:element ref="ns2:Active" minOccurs="0"/>
                <xsd:element ref="ns3:Business_x0020_Un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39aad-a4fc-4ebf-a8f1-edd2300763d8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Diagram"/>
          <xsd:enumeration value="Example"/>
          <xsd:enumeration value="Template"/>
          <xsd:enumeration value="Tool"/>
        </xsd:restriction>
      </xsd:simpleType>
    </xsd:element>
    <xsd:element name="k6e67aec43a041cf8b350323de3016c7" ma:index="10" nillable="true" ma:taxonomy="true" ma:internalName="k6e67aec43a041cf8b350323de3016c7" ma:taxonomyFieldName="Key_x0020_Words" ma:displayName="Key Words" ma:default="" ma:fieldId="{46e67aec-43a0-41cf-8b35-0323de3016c7}" ma:taxonomyMulti="true" ma:sspId="7f0c6a81-e1b8-4b2e-bdd0-20b0e9b92227" ma:termSetId="0b91a69f-42ac-491c-9b59-1ca356f703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lient" ma:index="16" nillable="true" ma:displayName="Client" ma:format="Dropdown" ma:internalName="Client">
      <xsd:simpleType>
        <xsd:restriction base="dms:Text">
          <xsd:maxLength value="255"/>
        </xsd:restriction>
      </xsd:simpleType>
    </xsd:element>
    <xsd:element name="PrimaryFocusArea" ma:index="17" nillable="true" ma:displayName="Primary Focus Area" ma:format="Dropdown" ma:internalName="PrimaryFocusArea">
      <xsd:simpleType>
        <xsd:restriction base="dms:Choice">
          <xsd:enumeration value="Frameworks and Methodology"/>
          <xsd:enumeration value="Legal &amp; Commercial"/>
          <xsd:enumeration value="Organisational Commitment"/>
          <xsd:enumeration value="People and Capability (Training, Competency)"/>
          <xsd:enumeration value="Systems and Toolsets"/>
        </xsd:restriction>
      </xsd:simpleType>
    </xsd:element>
    <xsd:element name="P3M" ma:index="18" nillable="true" ma:displayName="P3M" ma:format="Dropdown" ma:internalName="P3M">
      <xsd:simpleType>
        <xsd:restriction base="dms:Choice">
          <xsd:enumeration value="Portfolio Management"/>
          <xsd:enumeration value="Project Management"/>
          <xsd:enumeration value="Programme Management"/>
        </xsd:restriction>
      </xsd:simpleType>
    </xsd:element>
    <xsd:element name="EPIC" ma:index="19" nillable="true" ma:displayName="EPIC" ma:internalName="E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age"/>
                    <xsd:enumeration value="Plan"/>
                    <xsd:enumeration value="Implement"/>
                    <xsd:enumeration value="Close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Active" ma:index="20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6002-8291-4b3b-a7bd-a4ca64aa88e5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ca0c9d6b-35ec-43ef-8c63-484aba3ddc87}" ma:internalName="TaxCatchAll" ma:showField="CatchAllData" ma:web="7c9ac578-d3c3-4808-ae4a-f710123abc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usiness_x0020_Unit" ma:index="21" nillable="true" ma:displayName="Business Unit" ma:internalName="Business_x0020_Uni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SU"/>
                    <xsd:enumeration value="NCS"/>
                    <xsd:enumeration value="PPM"/>
                    <xsd:enumeration value="TRG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PIC xmlns="23839aad-a4fc-4ebf-a8f1-edd2300763d8"/>
    <Document_x0020_Type xmlns="23839aad-a4fc-4ebf-a8f1-edd2300763d8" xsi:nil="true"/>
    <k6e67aec43a041cf8b350323de3016c7 xmlns="23839aad-a4fc-4ebf-a8f1-edd2300763d8">
      <Terms xmlns="http://schemas.microsoft.com/office/infopath/2007/PartnerControls"/>
    </k6e67aec43a041cf8b350323de3016c7>
    <Business_x0020_Unit xmlns="77e46002-8291-4b3b-a7bd-a4ca64aa88e5"/>
    <PrimaryFocusArea xmlns="23839aad-a4fc-4ebf-a8f1-edd2300763d8" xsi:nil="true"/>
    <Active xmlns="23839aad-a4fc-4ebf-a8f1-edd2300763d8">true</Active>
    <P3M xmlns="23839aad-a4fc-4ebf-a8f1-edd2300763d8" xsi:nil="true"/>
    <Client xmlns="23839aad-a4fc-4ebf-a8f1-edd2300763d8" xsi:nil="true"/>
    <TaxCatchAll xmlns="77e46002-8291-4b3b-a7bd-a4ca64aa88e5"/>
  </documentManagement>
</p:properties>
</file>

<file path=customXml/itemProps1.xml><?xml version="1.0" encoding="utf-8"?>
<ds:datastoreItem xmlns:ds="http://schemas.openxmlformats.org/officeDocument/2006/customXml" ds:itemID="{7EBE19B7-4D9B-4625-805F-1426B5951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39aad-a4fc-4ebf-a8f1-edd2300763d8"/>
    <ds:schemaRef ds:uri="77e46002-8291-4b3b-a7bd-a4ca64aa8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F1E28-6603-4C9C-8C02-C949AFFA1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A18B7-4B2F-4127-BAD5-40329A4914D4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b30e3d4f-9741-4a6a-9369-271fc00c20f4"/>
    <ds:schemaRef ds:uri="ff87c68c-9024-4e81-a67f-10ffafb2b7d3"/>
    <ds:schemaRef ds:uri="http://www.w3.org/XML/1998/namespace"/>
    <ds:schemaRef ds:uri="23839aad-a4fc-4ebf-a8f1-edd2300763d8"/>
    <ds:schemaRef ds:uri="77e46002-8291-4b3b-a7bd-a4ca64aa88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Control Panel and Dashboard</vt:lpstr>
      <vt:lpstr>PPM Benefits Calculator</vt:lpstr>
      <vt:lpstr>MostLikely</vt:lpstr>
      <vt:lpstr>Optimistic</vt:lpstr>
      <vt:lpstr>Pessimistic</vt:lpstr>
      <vt:lpstr>pweeks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Janene</dc:creator>
  <cp:lastModifiedBy>Youssef Mourra</cp:lastModifiedBy>
  <cp:lastPrinted>2020-08-15T09:51:51Z</cp:lastPrinted>
  <dcterms:created xsi:type="dcterms:W3CDTF">2020-05-13T22:32:41Z</dcterms:created>
  <dcterms:modified xsi:type="dcterms:W3CDTF">2020-09-12T01:41:14Z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0x010100F849C2FF273F0E4F8487B395383C15C2</vt:lpwstr>
  </property>
  <property fmtid="{D5CDD505-2E9C-101B-9397-08002B2CF9AE}" pid="3" name="Key Words">
    <vt:lpwstr/>
  </property>
</Properties>
</file>